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3.xml" ContentType="application/vnd.openxmlformats-officedocument.spreadsheetml.comments+xml"/>
  <Override PartName="/xl/drawings/drawing10.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4.xml" ContentType="application/vnd.openxmlformats-officedocument.spreadsheetml.comments+xml"/>
  <Override PartName="/xl/drawings/drawing11.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5.xml" ContentType="application/vnd.openxmlformats-officedocument.spreadsheetml.comments+xml"/>
  <Override PartName="/xl/drawings/drawing1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omments6.xml" ContentType="application/vnd.openxmlformats-officedocument.spreadsheetml.comments+xml"/>
  <Override PartName="/xl/drawings/drawing13.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omments7.xml" ContentType="application/vnd.openxmlformats-officedocument.spreadsheetml.comments+xml"/>
  <Override PartName="/xl/drawings/drawing14.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omments8.xml" ContentType="application/vnd.openxmlformats-officedocument.spreadsheetml.comments+xml"/>
  <Override PartName="/xl/drawings/drawing15.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omments9.xml" ContentType="application/vnd.openxmlformats-officedocument.spreadsheetml.comments+xml"/>
  <Override PartName="/xl/drawings/drawing16.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omments10.xml" ContentType="application/vnd.openxmlformats-officedocument.spreadsheetml.comments+xml"/>
  <Override PartName="/xl/drawings/drawing17.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omments11.xml" ContentType="application/vnd.openxmlformats-officedocument.spreadsheetml.comments+xml"/>
  <Override PartName="/xl/drawings/drawing18.xml" ContentType="application/vnd.openxmlformats-officedocument.drawing+xml"/>
  <Override PartName="/xl/comments12.xml" ContentType="application/vnd.openxmlformats-officedocument.spreadsheetml.comments+xml"/>
  <Override PartName="/xl/drawings/drawing19.xml" ContentType="application/vnd.openxmlformats-officedocument.drawing+xml"/>
  <Override PartName="/xl/ctrlProps/ctrlProp64.xml" ContentType="application/vnd.ms-excel.controlproperties+xml"/>
  <Override PartName="/xl/drawings/drawing20.xml" ContentType="application/vnd.openxmlformats-officedocument.drawing+xml"/>
  <Override PartName="/xl/ctrlProps/ctrlProp65.xml" ContentType="application/vnd.ms-excel.controlproperties+xml"/>
  <Override PartName="/xl/drawings/drawing21.xml" ContentType="application/vnd.openxmlformats-officedocument.drawing+xml"/>
  <Override PartName="/xl/ctrlProps/ctrlProp66.xml" ContentType="application/vnd.ms-excel.controlproperties+xml"/>
  <Override PartName="/xl/drawings/drawing22.xml" ContentType="application/vnd.openxmlformats-officedocument.drawing+xml"/>
  <Override PartName="/xl/ctrlProps/ctrlProp67.xml" ContentType="application/vnd.ms-excel.controlproperties+xml"/>
  <Override PartName="/xl/drawings/drawing23.xml" ContentType="application/vnd.openxmlformats-officedocument.drawing+xml"/>
  <Override PartName="/xl/ctrlProps/ctrlProp68.xml" ContentType="application/vnd.ms-excel.controlproperties+xml"/>
  <Override PartName="/xl/drawings/drawing24.xml" ContentType="application/vnd.openxmlformats-officedocument.drawing+xml"/>
  <Override PartName="/xl/ctrlProps/ctrlProp69.xml" ContentType="application/vnd.ms-excel.controlproperties+xml"/>
  <Override PartName="/xl/drawings/drawing25.xml" ContentType="application/vnd.openxmlformats-officedocument.drawing+xml"/>
  <Override PartName="/xl/ctrlProps/ctrlProp70.xml" ContentType="application/vnd.ms-excel.controlproperties+xml"/>
  <Override PartName="/xl/drawings/drawing26.xml" ContentType="application/vnd.openxmlformats-officedocument.drawing+xml"/>
  <Override PartName="/xl/ctrlProps/ctrlProp71.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trlProps/ctrlProp72.xml" ContentType="application/vnd.ms-excel.controlproperties+xml"/>
  <Override PartName="/xl/drawings/drawing31.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omments13.xml" ContentType="application/vnd.openxmlformats-officedocument.spreadsheetml.comments+xml"/>
  <Override PartName="/xl/drawings/drawing32.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drawings/drawing33.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34.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35.xml" ContentType="application/vnd.openxmlformats-officedocument.drawing+xml"/>
  <Override PartName="/xl/ctrlProps/ctrlProp88.xml" ContentType="application/vnd.ms-excel.controlproperties+xml"/>
  <Override PartName="/xl/ctrlProps/ctrlProp89.xml" ContentType="application/vnd.ms-excel.controlproperties+xml"/>
  <Override PartName="/xl/comments14.xml" ContentType="application/vnd.openxmlformats-officedocument.spreadsheetml.comments+xml"/>
  <Override PartName="/xl/drawings/drawing36.xml" ContentType="application/vnd.openxmlformats-officedocument.drawing+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omments15.xml" ContentType="application/vnd.openxmlformats-officedocument.spreadsheetml.comments+xml"/>
  <Override PartName="/xl/drawings/drawing37.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omments16.xml" ContentType="application/vnd.openxmlformats-officedocument.spreadsheetml.comments+xml"/>
  <Override PartName="/xl/drawings/drawing38.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omments17.xml" ContentType="application/vnd.openxmlformats-officedocument.spreadsheetml.comments+xml"/>
  <Override PartName="/xl/drawings/drawing39.xml" ContentType="application/vnd.openxmlformats-officedocument.drawing+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drawings/drawing40.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omments18.xml" ContentType="application/vnd.openxmlformats-officedocument.spreadsheetml.comments+xml"/>
  <Override PartName="/xl/drawings/drawing41.xml" ContentType="application/vnd.openxmlformats-officedocument.drawing+xml"/>
  <Override PartName="/xl/ctrlProps/ctrlProp112.xml" ContentType="application/vnd.ms-excel.controlproperties+xml"/>
  <Override PartName="/xl/ctrlProps/ctrlProp113.xml" ContentType="application/vnd.ms-excel.controlproperties+xml"/>
  <Override PartName="/xl/drawings/drawing42.xml" ContentType="application/vnd.openxmlformats-officedocument.drawing+xml"/>
  <Override PartName="/xl/ctrlProps/ctrlProp114.xml" ContentType="application/vnd.ms-excel.controlproperties+xml"/>
  <Override PartName="/xl/ctrlProps/ctrlProp115.xml" ContentType="application/vnd.ms-excel.controlproperties+xml"/>
  <Override PartName="/xl/drawings/drawing43.xml" ContentType="application/vnd.openxmlformats-officedocument.drawing+xml"/>
  <Override PartName="/xl/ctrlProps/ctrlProp116.xml" ContentType="application/vnd.ms-excel.controlproperties+xml"/>
  <Override PartName="/xl/drawings/drawing44.xml" ContentType="application/vnd.openxmlformats-officedocument.drawing+xml"/>
  <Override PartName="/xl/ctrlProps/ctrlProp117.xml" ContentType="application/vnd.ms-excel.controlproperties+xml"/>
  <Override PartName="/xl/drawings/drawing45.xml" ContentType="application/vnd.openxmlformats-officedocument.drawing+xml"/>
  <Override PartName="/xl/ctrlProps/ctrlProp118.xml" ContentType="application/vnd.ms-excel.controlproperties+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0" yWindow="45" windowWidth="15300" windowHeight="8490" tabRatio="696" firstSheet="27" activeTab="34"/>
  </bookViews>
  <sheets>
    <sheet name="Logo Page" sheetId="24" r:id="rId1"/>
    <sheet name="Help" sheetId="79" r:id="rId2"/>
    <sheet name="Code References" sheetId="60" r:id="rId3"/>
    <sheet name="MasterIndex" sheetId="78" r:id="rId4"/>
    <sheet name="INDEX (Weight)" sheetId="57" r:id="rId5"/>
    <sheet name="INDEX (Equipment)" sheetId="58" r:id="rId6"/>
    <sheet name="INDEX (Tension)" sheetId="59" r:id="rId7"/>
    <sheet name="Conversions" sheetId="61" r:id="rId8"/>
    <sheet name="Cube" sheetId="35" r:id="rId9"/>
    <sheet name="Cylinder" sheetId="36" r:id="rId10"/>
    <sheet name="Hollow Cylinder" sheetId="37" r:id="rId11"/>
    <sheet name="Fustum of Pyramid" sheetId="38" r:id="rId12"/>
    <sheet name="Pyramid" sheetId="39" r:id="rId13"/>
    <sheet name="Fustum of Cone" sheetId="40" r:id="rId14"/>
    <sheet name="Cone" sheetId="41" r:id="rId15"/>
    <sheet name="Sphere" sheetId="43" r:id="rId16"/>
    <sheet name="Prism" sheetId="42" r:id="rId17"/>
    <sheet name="Motors" sheetId="19" r:id="rId18"/>
    <sheet name="Valve Bonnets" sheetId="13" r:id="rId19"/>
    <sheet name="Pump UH casings" sheetId="12" r:id="rId20"/>
    <sheet name="Pipe Weight" sheetId="63" r:id="rId21"/>
    <sheet name="S-type I-Beams" sheetId="68" r:id="rId22"/>
    <sheet name="Wide Flange I-Beams" sheetId="69" r:id="rId23"/>
    <sheet name="Steel Channel" sheetId="70" r:id="rId24"/>
    <sheet name="Steel Angles" sheetId="71" r:id="rId25"/>
    <sheet name="Steel" sheetId="16" r:id="rId26"/>
    <sheet name="Trig-a" sheetId="74" r:id="rId27"/>
    <sheet name="Trig-b" sheetId="73" r:id="rId28"/>
    <sheet name="Trig-c" sheetId="72" r:id="rId29"/>
    <sheet name="Tension by the Book" sheetId="27" r:id="rId30"/>
    <sheet name="2 Leg Config" sheetId="45" r:id="rId31"/>
    <sheet name="Non-Symmetrical" sheetId="62" r:id="rId32"/>
    <sheet name="Tight Lines" sheetId="21" r:id="rId33"/>
    <sheet name="Drifting loads" sheetId="20" r:id="rId34"/>
    <sheet name="Choker Reduction Single" sheetId="75" r:id="rId35"/>
    <sheet name="Choker Reduction Double" sheetId="56" r:id="rId36"/>
    <sheet name="Synthetic Slings" sheetId="18" r:id="rId37"/>
    <sheet name="Wire Rope Slings" sheetId="67" r:id="rId38"/>
    <sheet name="Chain Slings" sheetId="65" r:id="rId39"/>
    <sheet name="Twin-Path® Slings" sheetId="64" r:id="rId40"/>
    <sheet name="HoistRings" sheetId="53" r:id="rId41"/>
    <sheet name="Eyebolts" sheetId="51" r:id="rId42"/>
    <sheet name="Shackles" sheetId="49" r:id="rId43"/>
    <sheet name="Web Shackles" sheetId="77" r:id="rId44"/>
    <sheet name="WideBody" sheetId="50" r:id="rId45"/>
    <sheet name="datapage" sheetId="28" state="hidden" r:id="rId46"/>
    <sheet name="data_shackle2" sheetId="81" state="hidden" r:id="rId47"/>
    <sheet name="data_shackle" sheetId="48" r:id="rId48"/>
    <sheet name="data_eyebolts" sheetId="46" state="hidden" r:id="rId49"/>
    <sheet name="data_chains" sheetId="66" state="hidden" r:id="rId50"/>
    <sheet name="data_sling_2" sheetId="76" state="hidden" r:id="rId51"/>
    <sheet name="data_slings" sheetId="22" state="hidden" r:id="rId52"/>
    <sheet name="Weights" sheetId="2" r:id="rId53"/>
    <sheet name="release_notes" sheetId="83" r:id="rId54"/>
    <sheet name="x" sheetId="82" r:id="rId55"/>
  </sheets>
  <definedNames>
    <definedName name="_LID01">#REF!</definedName>
    <definedName name="Acceleration">Conversions!$B$156</definedName>
    <definedName name="Area">Conversions!$B$32</definedName>
    <definedName name="Calc1">'Trig-a'!$C$3</definedName>
    <definedName name="Calc10">'Choker Reduction Double'!$D$3</definedName>
    <definedName name="Calc2">'Trig-b'!$C$3</definedName>
    <definedName name="Calc3">'Trig-c'!$C$3</definedName>
    <definedName name="Calc4">'2 Leg Config'!$D$6</definedName>
    <definedName name="Calc5">'Non-Symmetrical'!$C$4</definedName>
    <definedName name="Calc6">'Tension by the Book'!$C$3</definedName>
    <definedName name="Calc7">'Tight Lines'!$C$4</definedName>
    <definedName name="Calc8">'Drifting loads'!$C$4</definedName>
    <definedName name="Calc9">'Choker Reduction Single'!$D$8</definedName>
    <definedName name="CodeRef">'Code References'!$D$1</definedName>
    <definedName name="Conversions">Conversions!$B$13</definedName>
    <definedName name="Custom_eyes">data_eyebolts!$C$61</definedName>
    <definedName name="Custom_slings">data_slings!$D$121</definedName>
    <definedName name="Data">Conversions!$B$186</definedName>
    <definedName name="Dry_Volume">Conversions!$B$73</definedName>
    <definedName name="Energy">Conversions!$B$111</definedName>
    <definedName name="Force">Conversions!$B$126</definedName>
    <definedName name="Gear1">'Synthetic Slings'!$A$1</definedName>
    <definedName name="Gear2">'Wire Rope Slings'!$A$1</definedName>
    <definedName name="Gear3">'Chain Slings'!$A$1</definedName>
    <definedName name="Gear4">'Twin-Path® Slings'!$A$1</definedName>
    <definedName name="Gear5">HoistRings!$E$25</definedName>
    <definedName name="Gear6">Eyebolts!#REF!</definedName>
    <definedName name="Gear7">Shackles!$G$19</definedName>
    <definedName name="Gear8">'Web Shackles'!$E$18</definedName>
    <definedName name="Gear9">WideBody!$G$19</definedName>
    <definedName name="getweight">Weights!$C$4:$E$28</definedName>
    <definedName name="HelpMe">Help!$A$1</definedName>
    <definedName name="HOME">'Logo Page'!$G$12</definedName>
    <definedName name="INDEX_EQUIP">'INDEX (Equipment)'!$A$1</definedName>
    <definedName name="INDEX_TENSION">'INDEX (Tension)'!$A$1</definedName>
    <definedName name="INDEX_WEIGHT">'INDEX (Weight)'!$A$1</definedName>
    <definedName name="Length">Conversions!$B$14</definedName>
    <definedName name="LogoPage">'Logo Page'!$G$13</definedName>
    <definedName name="LUweight">Weights!$B$4:$E$28</definedName>
    <definedName name="Mass">Conversions!$B$83</definedName>
    <definedName name="Master_Index_Page">MasterIndex!$B$2</definedName>
    <definedName name="MASTERSWITCH">x!$M$21</definedName>
    <definedName name="Power">Conversions!$B$97</definedName>
    <definedName name="_xlnm.Print_Area" localSheetId="30">'2 Leg Config'!$A$1:$L$36</definedName>
    <definedName name="_xlnm.Print_Area" localSheetId="38">'Chain Slings'!$B$1:$E$29</definedName>
    <definedName name="_xlnm.Print_Area" localSheetId="35">'Choker Reduction Double'!$B$1:$L$38</definedName>
    <definedName name="_xlnm.Print_Area" localSheetId="34">'Choker Reduction Single'!$B$1:$H$33</definedName>
    <definedName name="_xlnm.Print_Area" localSheetId="14">Cone!$A$1:$J$35</definedName>
    <definedName name="_xlnm.Print_Area" localSheetId="8">Cube!$A$1:$L$32</definedName>
    <definedName name="_xlnm.Print_Area" localSheetId="9">Cylinder!$A$1:$J$35</definedName>
    <definedName name="_xlnm.Print_Area" localSheetId="33">'Drifting loads'!$B$1:$L$36</definedName>
    <definedName name="_xlnm.Print_Area" localSheetId="41">Eyebolts!$A$1:$N$28</definedName>
    <definedName name="_xlnm.Print_Area" localSheetId="13">'Fustum of Cone'!$A$1:$J$33</definedName>
    <definedName name="_xlnm.Print_Area" localSheetId="11">'Fustum of Pyramid'!$B$1:$M$32</definedName>
    <definedName name="_xlnm.Print_Area" localSheetId="40">HoistRings!$A$1:$O$31</definedName>
    <definedName name="_xlnm.Print_Area" localSheetId="10">'Hollow Cylinder'!$B$1:$L$34</definedName>
    <definedName name="_xlnm.Print_Area" localSheetId="5">'INDEX (Equipment)'!$B$1:$H$12</definedName>
    <definedName name="_xlnm.Print_Area" localSheetId="6">'INDEX (Tension)'!$B$1:$G$17</definedName>
    <definedName name="_xlnm.Print_Area" localSheetId="4">'INDEX (Weight)'!$B$1:$F$24</definedName>
    <definedName name="_xlnm.Print_Area" localSheetId="0">'Logo Page'!$A$1:$H$27</definedName>
    <definedName name="_xlnm.Print_Area" localSheetId="3">MasterIndex!$A$1:$E$31</definedName>
    <definedName name="_xlnm.Print_Area" localSheetId="17">Motors!$A$1:$L$29</definedName>
    <definedName name="_xlnm.Print_Area" localSheetId="31">'Non-Symmetrical'!$B$1:$J$31</definedName>
    <definedName name="_xlnm.Print_Area" localSheetId="20">'Pipe Weight'!$A$1:$I$34</definedName>
    <definedName name="_xlnm.Print_Area" localSheetId="16">Prism!$A$1:$J$35</definedName>
    <definedName name="_xlnm.Print_Area" localSheetId="19">'Pump UH casings'!$A$2:$L$34</definedName>
    <definedName name="_xlnm.Print_Area" localSheetId="12">Pyramid!$A$1:$J$34</definedName>
    <definedName name="_xlnm.Print_Area" localSheetId="42">Shackles!$B$1:$M$30</definedName>
    <definedName name="_xlnm.Print_Area" localSheetId="15">Sphere!$A$1:$J$34</definedName>
    <definedName name="_xlnm.Print_Area" localSheetId="25">Steel!$A$1:$H$28</definedName>
    <definedName name="_xlnm.Print_Area" localSheetId="24">'Steel Angles'!$A$1:$K$31</definedName>
    <definedName name="_xlnm.Print_Area" localSheetId="23">'Steel Channel'!$A$1:$K$32</definedName>
    <definedName name="_xlnm.Print_Area" localSheetId="21">'S-type I-Beams'!$A$1:$K$30</definedName>
    <definedName name="_xlnm.Print_Area" localSheetId="36">'Synthetic Slings'!$A$1:$F$32</definedName>
    <definedName name="_xlnm.Print_Area" localSheetId="29">'Tension by the Book'!$A$1:$J$34</definedName>
    <definedName name="_xlnm.Print_Area" localSheetId="32">'Tight Lines'!$B$1:$L$33</definedName>
    <definedName name="_xlnm.Print_Area" localSheetId="26">'Trig-a'!$A$1:$M$30</definedName>
    <definedName name="_xlnm.Print_Area" localSheetId="27">'Trig-b'!$A$1:$M$32</definedName>
    <definedName name="_xlnm.Print_Area" localSheetId="28">'Trig-c'!$A$1:$M$34</definedName>
    <definedName name="_xlnm.Print_Area" localSheetId="39">'Twin-Path® Slings'!$B$1:$E$29</definedName>
    <definedName name="_xlnm.Print_Area" localSheetId="18">'Valve Bonnets'!$B$1:$I$33</definedName>
    <definedName name="_xlnm.Print_Area" localSheetId="43">'Web Shackles'!$A$1:$J$30</definedName>
    <definedName name="_xlnm.Print_Area" localSheetId="22">'Wide Flange I-Beams'!$A$1:$K$32</definedName>
    <definedName name="_xlnm.Print_Area" localSheetId="44">WideBody!$B$1:$N$30</definedName>
    <definedName name="_xlnm.Print_Area" localSheetId="37">'Wire Rope Slings'!$A$1:$E$32</definedName>
    <definedName name="slinglength">datapage!$C$29:$F$72</definedName>
    <definedName name="Temperature">Conversions!$B$135</definedName>
    <definedName name="Time">Conversions!$B$167</definedName>
    <definedName name="Updates">Conversions!$B$201</definedName>
    <definedName name="Velocity">Conversions!$B$142</definedName>
    <definedName name="Volume">Conversions!$B$50</definedName>
    <definedName name="Weight1">Cube!$C$3</definedName>
    <definedName name="Weight10">Motors!$C$4</definedName>
    <definedName name="Weight11">'Valve Bonnets'!$D$6</definedName>
    <definedName name="Weight12">'Pump UH casings'!$C$10</definedName>
    <definedName name="Weight13">'Pipe Weight'!$D$13</definedName>
    <definedName name="Weight14">'S-type I-Beams'!$C$12</definedName>
    <definedName name="Weight15">'Wide Flange I-Beams'!$C$12</definedName>
    <definedName name="Weight16">'Steel Channel'!$C$12</definedName>
    <definedName name="Weight17">'Steel Angles'!$C$12</definedName>
    <definedName name="Weight18">Steel!$C$12</definedName>
    <definedName name="Weight2">Cylinder!$C$3</definedName>
    <definedName name="Weight3">'Hollow Cylinder'!$D$3</definedName>
    <definedName name="Weight4">'Fustum of Pyramid'!$D$3</definedName>
    <definedName name="Weight5">Pyramid!$C$3</definedName>
    <definedName name="Weight6">'Fustum of Cone'!$C$3</definedName>
    <definedName name="Weight7">Cone!$C$3</definedName>
    <definedName name="Weight8">Sphere!$C$3</definedName>
    <definedName name="Weight9">Prism!$C$3</definedName>
  </definedNames>
  <calcPr calcId="145621"/>
</workbook>
</file>

<file path=xl/calcChain.xml><?xml version="1.0" encoding="utf-8"?>
<calcChain xmlns="http://schemas.openxmlformats.org/spreadsheetml/2006/main">
  <c r="M12" i="82" l="1"/>
  <c r="N12" i="82"/>
  <c r="E15" i="82" s="1"/>
  <c r="F10" i="45"/>
  <c r="C40" i="81"/>
  <c r="D12" i="45"/>
  <c r="D13" i="45" s="1"/>
  <c r="D75" i="48"/>
  <c r="D8" i="75"/>
  <c r="C41" i="81"/>
  <c r="F11" i="45"/>
  <c r="I23" i="45"/>
  <c r="E18" i="45"/>
  <c r="F18" i="45"/>
  <c r="N20" i="45"/>
  <c r="E20" i="45" s="1"/>
  <c r="O19" i="45"/>
  <c r="F19" i="45"/>
  <c r="E9" i="45"/>
  <c r="D9" i="45"/>
  <c r="F7" i="56"/>
  <c r="D8" i="56" s="1"/>
  <c r="F4" i="56"/>
  <c r="F3" i="56"/>
  <c r="G3" i="56"/>
  <c r="D6" i="56"/>
  <c r="D9" i="56" s="1"/>
  <c r="M10" i="82"/>
  <c r="N10" i="82"/>
  <c r="N13" i="82" s="1"/>
  <c r="M11" i="82"/>
  <c r="N11" i="82" s="1"/>
  <c r="D13" i="82"/>
  <c r="D14" i="82" s="1"/>
  <c r="C11" i="82" s="1"/>
  <c r="D3" i="82"/>
  <c r="E3" i="82" s="1"/>
  <c r="C10" i="81"/>
  <c r="D10" i="81" s="1"/>
  <c r="C6" i="74"/>
  <c r="C5" i="74"/>
  <c r="L15" i="74" s="1"/>
  <c r="L9" i="82"/>
  <c r="M9" i="82" s="1"/>
  <c r="N9" i="82" s="1"/>
  <c r="E11" i="82" s="1"/>
  <c r="K9" i="82"/>
  <c r="K4" i="82"/>
  <c r="D24" i="18"/>
  <c r="F100" i="76"/>
  <c r="F99" i="76"/>
  <c r="F98" i="76"/>
  <c r="F97" i="76"/>
  <c r="F96" i="76"/>
  <c r="F95" i="76"/>
  <c r="F94" i="76"/>
  <c r="F93" i="76"/>
  <c r="F92" i="76"/>
  <c r="F91" i="76"/>
  <c r="F90" i="76"/>
  <c r="F89" i="76"/>
  <c r="F88" i="76"/>
  <c r="E13" i="45"/>
  <c r="E12" i="45"/>
  <c r="D19" i="81"/>
  <c r="C20" i="81"/>
  <c r="D20" i="81" s="1"/>
  <c r="C21" i="81"/>
  <c r="D21" i="81" s="1"/>
  <c r="C22" i="81"/>
  <c r="D22" i="81"/>
  <c r="C23" i="81"/>
  <c r="D23" i="81" s="1"/>
  <c r="C24" i="81"/>
  <c r="D24" i="81"/>
  <c r="C25" i="81"/>
  <c r="D25" i="81" s="1"/>
  <c r="C26" i="81"/>
  <c r="D26" i="81"/>
  <c r="C27" i="81"/>
  <c r="D27" i="81" s="1"/>
  <c r="C28" i="81"/>
  <c r="D28" i="81"/>
  <c r="C29" i="81"/>
  <c r="D29" i="81" s="1"/>
  <c r="C30" i="81"/>
  <c r="D30" i="81"/>
  <c r="C31" i="81"/>
  <c r="D31" i="81" s="1"/>
  <c r="C32" i="81"/>
  <c r="D32" i="81" s="1"/>
  <c r="C33" i="81"/>
  <c r="D33" i="81" s="1"/>
  <c r="C34" i="81"/>
  <c r="D34" i="81" s="1"/>
  <c r="C35" i="81"/>
  <c r="D35" i="81"/>
  <c r="D36" i="81"/>
  <c r="C37" i="81"/>
  <c r="D37" i="81"/>
  <c r="C38" i="81"/>
  <c r="D38" i="81" s="1"/>
  <c r="C39" i="81"/>
  <c r="D39" i="81" s="1"/>
  <c r="D40" i="81"/>
  <c r="D41" i="81"/>
  <c r="C42" i="81"/>
  <c r="D42" i="81" s="1"/>
  <c r="C43" i="81"/>
  <c r="D43" i="81" s="1"/>
  <c r="C44" i="81"/>
  <c r="D44" i="81" s="1"/>
  <c r="C45" i="81"/>
  <c r="D45" i="81" s="1"/>
  <c r="C46" i="81"/>
  <c r="D46" i="81"/>
  <c r="D47" i="81"/>
  <c r="C48" i="81"/>
  <c r="D48" i="81" s="1"/>
  <c r="C49" i="81"/>
  <c r="D49" i="81"/>
  <c r="C50" i="81"/>
  <c r="D50" i="81" s="1"/>
  <c r="C51" i="81"/>
  <c r="D51" i="81"/>
  <c r="C52" i="81"/>
  <c r="D52" i="81" s="1"/>
  <c r="C53" i="81"/>
  <c r="D53" i="81" s="1"/>
  <c r="C54" i="81"/>
  <c r="D54" i="81" s="1"/>
  <c r="C55" i="81"/>
  <c r="D55" i="81" s="1"/>
  <c r="C56" i="81"/>
  <c r="D56" i="81" s="1"/>
  <c r="C57" i="81"/>
  <c r="D57" i="81"/>
  <c r="C58" i="81"/>
  <c r="D58" i="81" s="1"/>
  <c r="D59" i="81"/>
  <c r="C60" i="81"/>
  <c r="D60" i="81" s="1"/>
  <c r="C61" i="81"/>
  <c r="D61" i="81" s="1"/>
  <c r="C62" i="81"/>
  <c r="D62" i="81" s="1"/>
  <c r="C63" i="81"/>
  <c r="D63" i="81"/>
  <c r="C64" i="81"/>
  <c r="D64" i="81" s="1"/>
  <c r="C65" i="81"/>
  <c r="D65" i="81"/>
  <c r="C66" i="81"/>
  <c r="D66" i="81" s="1"/>
  <c r="C67" i="81"/>
  <c r="D67" i="81" s="1"/>
  <c r="C68" i="81"/>
  <c r="D68" i="81" s="1"/>
  <c r="C69" i="81"/>
  <c r="D69" i="81" s="1"/>
  <c r="C70" i="81"/>
  <c r="D70" i="81" s="1"/>
  <c r="C71" i="81"/>
  <c r="D71" i="81"/>
  <c r="C72" i="81"/>
  <c r="D72" i="81" s="1"/>
  <c r="C73" i="81"/>
  <c r="D73" i="81"/>
  <c r="D74" i="81"/>
  <c r="C75" i="81"/>
  <c r="D75" i="81" s="1"/>
  <c r="C76" i="81"/>
  <c r="D76" i="81"/>
  <c r="C77" i="81"/>
  <c r="D77" i="81" s="1"/>
  <c r="C78" i="81"/>
  <c r="D78" i="81" s="1"/>
  <c r="C79" i="81"/>
  <c r="D79" i="81" s="1"/>
  <c r="C80" i="81"/>
  <c r="D80" i="81" s="1"/>
  <c r="D81" i="81"/>
  <c r="D82" i="81"/>
  <c r="D83" i="81"/>
  <c r="D84" i="81"/>
  <c r="C85" i="81"/>
  <c r="D85" i="81" s="1"/>
  <c r="C86" i="81"/>
  <c r="D86" i="81"/>
  <c r="C87" i="81"/>
  <c r="D87" i="81" s="1"/>
  <c r="C88" i="81"/>
  <c r="D88" i="81"/>
  <c r="C89" i="81"/>
  <c r="D89" i="81" s="1"/>
  <c r="C90" i="81"/>
  <c r="D90" i="81" s="1"/>
  <c r="C91" i="81"/>
  <c r="D91" i="81" s="1"/>
  <c r="C92" i="81"/>
  <c r="D92" i="81" s="1"/>
  <c r="C93" i="81"/>
  <c r="D93" i="81" s="1"/>
  <c r="C94" i="81"/>
  <c r="D94" i="81"/>
  <c r="C95" i="81"/>
  <c r="D95" i="81" s="1"/>
  <c r="C96" i="81"/>
  <c r="D96" i="81"/>
  <c r="C97" i="81"/>
  <c r="D97" i="81" s="1"/>
  <c r="C98" i="81"/>
  <c r="D98" i="81" s="1"/>
  <c r="C99" i="81"/>
  <c r="D99" i="81" s="1"/>
  <c r="C100" i="81"/>
  <c r="D100" i="81" s="1"/>
  <c r="C3" i="81"/>
  <c r="D3" i="81" s="1"/>
  <c r="C4" i="81"/>
  <c r="D4" i="81"/>
  <c r="C5" i="81"/>
  <c r="D5" i="81" s="1"/>
  <c r="C6" i="81"/>
  <c r="D6" i="81"/>
  <c r="C7" i="81"/>
  <c r="D7" i="81" s="1"/>
  <c r="C8" i="81"/>
  <c r="D8" i="81" s="1"/>
  <c r="C9" i="81"/>
  <c r="D9" i="81" s="1"/>
  <c r="C11" i="81"/>
  <c r="D11" i="81" s="1"/>
  <c r="C12" i="81"/>
  <c r="D12" i="81" s="1"/>
  <c r="C13" i="81"/>
  <c r="D13" i="81"/>
  <c r="C14" i="81"/>
  <c r="D14" i="81" s="1"/>
  <c r="C15" i="81"/>
  <c r="D15" i="81"/>
  <c r="C16" i="81"/>
  <c r="D16" i="81" s="1"/>
  <c r="C17" i="81"/>
  <c r="D17" i="81" s="1"/>
  <c r="C18" i="81"/>
  <c r="D18" i="81" s="1"/>
  <c r="C2" i="81"/>
  <c r="D2" i="81" s="1"/>
  <c r="E3" i="36"/>
  <c r="E4" i="36"/>
  <c r="C7" i="36"/>
  <c r="C8" i="36"/>
  <c r="F19" i="77"/>
  <c r="E2" i="77"/>
  <c r="C17" i="77"/>
  <c r="F17" i="77"/>
  <c r="F2" i="77"/>
  <c r="E14" i="77"/>
  <c r="B11" i="77"/>
  <c r="B9" i="77"/>
  <c r="B7" i="77"/>
  <c r="D17" i="75"/>
  <c r="D16" i="75"/>
  <c r="D15" i="75"/>
  <c r="D14" i="75"/>
  <c r="D13" i="75"/>
  <c r="C5" i="72"/>
  <c r="L15" i="72" s="1"/>
  <c r="C6" i="73"/>
  <c r="C6" i="72"/>
  <c r="C13" i="72"/>
  <c r="C14" i="72" s="1"/>
  <c r="C13" i="73"/>
  <c r="C14" i="73" s="1"/>
  <c r="C13" i="74"/>
  <c r="C14" i="74" s="1"/>
  <c r="J11" i="74"/>
  <c r="E12" i="74"/>
  <c r="J11" i="73"/>
  <c r="E12" i="73"/>
  <c r="I20" i="74"/>
  <c r="I20" i="72"/>
  <c r="E12" i="72"/>
  <c r="D5" i="71"/>
  <c r="D6" i="71"/>
  <c r="I11" i="71"/>
  <c r="H24" i="71"/>
  <c r="F15" i="71"/>
  <c r="C14" i="71"/>
  <c r="C16" i="71"/>
  <c r="C17" i="71" s="1"/>
  <c r="D5" i="70"/>
  <c r="D6" i="70" s="1"/>
  <c r="F7" i="70"/>
  <c r="H12" i="70"/>
  <c r="C14" i="70"/>
  <c r="C16" i="70" s="1"/>
  <c r="C17" i="70" s="1"/>
  <c r="D19" i="70"/>
  <c r="H24" i="70"/>
  <c r="D5" i="69"/>
  <c r="D6" i="69"/>
  <c r="G7" i="69"/>
  <c r="J12" i="69"/>
  <c r="C14" i="69"/>
  <c r="C16" i="69"/>
  <c r="C17" i="69" s="1"/>
  <c r="D19" i="69"/>
  <c r="J22" i="69"/>
  <c r="C14" i="68"/>
  <c r="C16" i="68" s="1"/>
  <c r="C17" i="68" s="1"/>
  <c r="D5" i="68"/>
  <c r="D6" i="68"/>
  <c r="D19" i="68"/>
  <c r="J22" i="68"/>
  <c r="J11" i="68"/>
  <c r="G7" i="68"/>
  <c r="C17" i="67"/>
  <c r="D17" i="67"/>
  <c r="E17" i="67"/>
  <c r="C18" i="67"/>
  <c r="D18" i="67"/>
  <c r="E18" i="67"/>
  <c r="D20" i="65"/>
  <c r="E20" i="65"/>
  <c r="C20" i="65"/>
  <c r="D16" i="65"/>
  <c r="E16" i="65"/>
  <c r="C16" i="65"/>
  <c r="D19" i="65"/>
  <c r="E19" i="65"/>
  <c r="C19" i="65"/>
  <c r="E15" i="65"/>
  <c r="D15" i="65"/>
  <c r="C15" i="65"/>
  <c r="B10" i="65"/>
  <c r="C12" i="65"/>
  <c r="D12" i="65"/>
  <c r="C13" i="65"/>
  <c r="D13" i="65"/>
  <c r="F6" i="45"/>
  <c r="D9" i="64"/>
  <c r="D10" i="64"/>
  <c r="Q100" i="22"/>
  <c r="Q101" i="22"/>
  <c r="Q102" i="22"/>
  <c r="Q103" i="22"/>
  <c r="Q104" i="22"/>
  <c r="Q105" i="22"/>
  <c r="Q106" i="22"/>
  <c r="Q107" i="22"/>
  <c r="Q108" i="22"/>
  <c r="Q109" i="22"/>
  <c r="Q110" i="22"/>
  <c r="Q111" i="22"/>
  <c r="Q112" i="22"/>
  <c r="Q113" i="22"/>
  <c r="Q114" i="22"/>
  <c r="Q115" i="22"/>
  <c r="Q116" i="22"/>
  <c r="Q117" i="22"/>
  <c r="P100" i="22"/>
  <c r="P101" i="22"/>
  <c r="P102" i="22"/>
  <c r="P103" i="22"/>
  <c r="P104" i="22"/>
  <c r="P105" i="22"/>
  <c r="P106" i="22"/>
  <c r="P107" i="22"/>
  <c r="P108" i="22"/>
  <c r="P109" i="22"/>
  <c r="P110" i="22"/>
  <c r="P111" i="22"/>
  <c r="P112" i="22"/>
  <c r="P113" i="22"/>
  <c r="P114" i="22"/>
  <c r="P115" i="22"/>
  <c r="P116" i="22"/>
  <c r="P117" i="22"/>
  <c r="C14" i="64"/>
  <c r="D14" i="64"/>
  <c r="E14" i="64"/>
  <c r="C15" i="64"/>
  <c r="D15" i="64"/>
  <c r="E15" i="64"/>
  <c r="J3" i="56"/>
  <c r="K5" i="56"/>
  <c r="I15" i="56" s="1"/>
  <c r="J56" i="22"/>
  <c r="J57" i="22"/>
  <c r="J58" i="22"/>
  <c r="J59" i="22"/>
  <c r="J60" i="22"/>
  <c r="J61" i="22"/>
  <c r="J62" i="22"/>
  <c r="J63" i="22"/>
  <c r="J55" i="22"/>
  <c r="J46" i="22"/>
  <c r="J47" i="22"/>
  <c r="J48" i="22"/>
  <c r="J49" i="22"/>
  <c r="J50" i="22"/>
  <c r="J51" i="22"/>
  <c r="J52" i="22"/>
  <c r="J53" i="22"/>
  <c r="J45" i="22"/>
  <c r="J36" i="22"/>
  <c r="J37" i="22"/>
  <c r="J38" i="22"/>
  <c r="J39" i="22"/>
  <c r="J40" i="22"/>
  <c r="J41" i="22"/>
  <c r="J42" i="22"/>
  <c r="J43" i="22"/>
  <c r="J35" i="22"/>
  <c r="J26" i="22"/>
  <c r="J27" i="22"/>
  <c r="J28" i="22"/>
  <c r="J29" i="22"/>
  <c r="J30" i="22"/>
  <c r="J31" i="22"/>
  <c r="J32" i="22"/>
  <c r="J33" i="22"/>
  <c r="J25" i="22"/>
  <c r="G69" i="22"/>
  <c r="D28" i="18"/>
  <c r="C28" i="18"/>
  <c r="E19" i="18"/>
  <c r="D19" i="18"/>
  <c r="C19" i="18"/>
  <c r="C27" i="18"/>
  <c r="D23" i="18"/>
  <c r="D13" i="18"/>
  <c r="D11" i="63"/>
  <c r="D14" i="63"/>
  <c r="Q175" i="63"/>
  <c r="Q174" i="63"/>
  <c r="Q173" i="63"/>
  <c r="Q172" i="63"/>
  <c r="Q171" i="63"/>
  <c r="Q170" i="63"/>
  <c r="Q169" i="63"/>
  <c r="Q168" i="63"/>
  <c r="Q167" i="63"/>
  <c r="Q166" i="63"/>
  <c r="Q165" i="63"/>
  <c r="Q164" i="63"/>
  <c r="Q163" i="63"/>
  <c r="Q162" i="63"/>
  <c r="Q161" i="63"/>
  <c r="Q160" i="63"/>
  <c r="Q159" i="63"/>
  <c r="Q158" i="63"/>
  <c r="Q157" i="63"/>
  <c r="Q156" i="63"/>
  <c r="Q155" i="63"/>
  <c r="Q154" i="63"/>
  <c r="Q153" i="63"/>
  <c r="Q152" i="63"/>
  <c r="Q151" i="63"/>
  <c r="Q150" i="63"/>
  <c r="Q149" i="63"/>
  <c r="Q148" i="63"/>
  <c r="Q147" i="63"/>
  <c r="Q146" i="63"/>
  <c r="Q145" i="63"/>
  <c r="Q144" i="63"/>
  <c r="Q143" i="63"/>
  <c r="Q142" i="63"/>
  <c r="Q141" i="63"/>
  <c r="Q140" i="63"/>
  <c r="Q139" i="63"/>
  <c r="Q138" i="63"/>
  <c r="Q137" i="63"/>
  <c r="Q136" i="63"/>
  <c r="Q135" i="63"/>
  <c r="Q134" i="63"/>
  <c r="Q133" i="63"/>
  <c r="Q132" i="63"/>
  <c r="Q131" i="63"/>
  <c r="Q130" i="63"/>
  <c r="Q129" i="63"/>
  <c r="Q128" i="63"/>
  <c r="Q127" i="63"/>
  <c r="Q126" i="63"/>
  <c r="Q125" i="63"/>
  <c r="Q124" i="63"/>
  <c r="Q123" i="63"/>
  <c r="Q122" i="63"/>
  <c r="Q121" i="63"/>
  <c r="Q120" i="63"/>
  <c r="Q119" i="63"/>
  <c r="Q118" i="63"/>
  <c r="Q117" i="63"/>
  <c r="Q116" i="63"/>
  <c r="Q115" i="63"/>
  <c r="Q114" i="63"/>
  <c r="Q113" i="63"/>
  <c r="Q112" i="63"/>
  <c r="Q111" i="63"/>
  <c r="Q110" i="63"/>
  <c r="Q109" i="63"/>
  <c r="Q108" i="63"/>
  <c r="Q107" i="63"/>
  <c r="Q106" i="63"/>
  <c r="Q105" i="63"/>
  <c r="Q104" i="63"/>
  <c r="Q103" i="63"/>
  <c r="Q102" i="63"/>
  <c r="Q101" i="63"/>
  <c r="Q100" i="63"/>
  <c r="Q99" i="63"/>
  <c r="Q98" i="63"/>
  <c r="Q97" i="63"/>
  <c r="Q96" i="63"/>
  <c r="Q95" i="63"/>
  <c r="Q94" i="63"/>
  <c r="Q93" i="63"/>
  <c r="Q92" i="63"/>
  <c r="Q91" i="63"/>
  <c r="Q90" i="63"/>
  <c r="Q89" i="63"/>
  <c r="Q88" i="63"/>
  <c r="Q87" i="63"/>
  <c r="Q86" i="63"/>
  <c r="Q85" i="63"/>
  <c r="Q84" i="63"/>
  <c r="Q83" i="63"/>
  <c r="Q82" i="63"/>
  <c r="Q81" i="63"/>
  <c r="Q80" i="63"/>
  <c r="Q79" i="63"/>
  <c r="Q78" i="63"/>
  <c r="Q77" i="63"/>
  <c r="Q76" i="63"/>
  <c r="Q75" i="63"/>
  <c r="Q74" i="63"/>
  <c r="Q73" i="63"/>
  <c r="Q72" i="63"/>
  <c r="Q71" i="63"/>
  <c r="Q70" i="63"/>
  <c r="Q69" i="63"/>
  <c r="Q68" i="63"/>
  <c r="Q67" i="63"/>
  <c r="Q66" i="63"/>
  <c r="Q65" i="63"/>
  <c r="Q64" i="63"/>
  <c r="Q63" i="63"/>
  <c r="Q62" i="63"/>
  <c r="Q61" i="63"/>
  <c r="Q60" i="63"/>
  <c r="Q59" i="63"/>
  <c r="Q58" i="63"/>
  <c r="Q57" i="63"/>
  <c r="Q56" i="63"/>
  <c r="Q55" i="63"/>
  <c r="Q54" i="63"/>
  <c r="Q53" i="63"/>
  <c r="Q52" i="63"/>
  <c r="Q51" i="63"/>
  <c r="Q50" i="63"/>
  <c r="Q49" i="63"/>
  <c r="Q48" i="63"/>
  <c r="Q47" i="63"/>
  <c r="Q46" i="63"/>
  <c r="Q45" i="63"/>
  <c r="Q44" i="63"/>
  <c r="Q43" i="63"/>
  <c r="Q42" i="63"/>
  <c r="Q41" i="63"/>
  <c r="Q40" i="63"/>
  <c r="Q39" i="63"/>
  <c r="Q38" i="63"/>
  <c r="Q37" i="63"/>
  <c r="Q36" i="63"/>
  <c r="Q35" i="63"/>
  <c r="Q34" i="63"/>
  <c r="Q33" i="63"/>
  <c r="Q32" i="63"/>
  <c r="Q31" i="63"/>
  <c r="Q30" i="63"/>
  <c r="Q29" i="63"/>
  <c r="Q28" i="63"/>
  <c r="Q27" i="63"/>
  <c r="Q26" i="63"/>
  <c r="D25" i="63"/>
  <c r="D26" i="63"/>
  <c r="D24" i="63"/>
  <c r="Q25" i="63"/>
  <c r="Q24" i="63"/>
  <c r="Q23" i="63"/>
  <c r="Q22" i="63"/>
  <c r="Q21" i="63"/>
  <c r="Q20" i="63"/>
  <c r="Q19" i="63"/>
  <c r="Q18" i="63"/>
  <c r="Q17" i="63"/>
  <c r="Q16" i="63"/>
  <c r="Q15" i="63"/>
  <c r="Q14" i="63"/>
  <c r="Q13" i="63"/>
  <c r="Q12" i="63"/>
  <c r="Q11" i="63"/>
  <c r="Q10" i="63"/>
  <c r="D10" i="63"/>
  <c r="Q9" i="63"/>
  <c r="D9" i="63"/>
  <c r="Q8" i="63"/>
  <c r="D8" i="63"/>
  <c r="Q7" i="63"/>
  <c r="Q6" i="63"/>
  <c r="Q5" i="63"/>
  <c r="Q4" i="63"/>
  <c r="Q3" i="63"/>
  <c r="Q2" i="63"/>
  <c r="G18" i="20"/>
  <c r="G16" i="20"/>
  <c r="E4" i="20"/>
  <c r="C10" i="20"/>
  <c r="E5" i="20"/>
  <c r="D16" i="20" s="1"/>
  <c r="F16" i="20" s="1"/>
  <c r="E6" i="20"/>
  <c r="F14" i="21"/>
  <c r="F13" i="21"/>
  <c r="E4" i="21"/>
  <c r="C8" i="21"/>
  <c r="C13" i="21" s="1"/>
  <c r="E5" i="21"/>
  <c r="C9" i="21"/>
  <c r="C14" i="21" s="1"/>
  <c r="E14" i="21" s="1"/>
  <c r="E7" i="21"/>
  <c r="D6" i="21"/>
  <c r="D9" i="21"/>
  <c r="D8" i="21"/>
  <c r="D14" i="21"/>
  <c r="D13" i="21"/>
  <c r="D11" i="21"/>
  <c r="F7" i="21"/>
  <c r="F5" i="21"/>
  <c r="F4" i="21"/>
  <c r="D3" i="21"/>
  <c r="C3" i="21"/>
  <c r="D13" i="62"/>
  <c r="D14" i="62"/>
  <c r="E4" i="62"/>
  <c r="E9" i="62"/>
  <c r="E5" i="62"/>
  <c r="C13" i="62"/>
  <c r="E6" i="62"/>
  <c r="E7" i="62"/>
  <c r="E8" i="62"/>
  <c r="F8" i="62"/>
  <c r="F9" i="62"/>
  <c r="F7" i="62"/>
  <c r="D11" i="62"/>
  <c r="F6" i="62"/>
  <c r="F5" i="62"/>
  <c r="F4" i="62"/>
  <c r="D3" i="62"/>
  <c r="C3" i="62"/>
  <c r="J7" i="20"/>
  <c r="J6" i="20"/>
  <c r="F5" i="20"/>
  <c r="F6" i="20"/>
  <c r="F4" i="20"/>
  <c r="D7" i="20"/>
  <c r="D11" i="20"/>
  <c r="D10" i="20"/>
  <c r="E18" i="20"/>
  <c r="E16" i="20"/>
  <c r="L14" i="20"/>
  <c r="H14" i="20"/>
  <c r="L2" i="20"/>
  <c r="D3" i="20"/>
  <c r="C3" i="20"/>
  <c r="C24" i="27"/>
  <c r="C25" i="27" s="1"/>
  <c r="E7" i="45"/>
  <c r="E6" i="45"/>
  <c r="J23" i="45"/>
  <c r="H11" i="45"/>
  <c r="B28" i="48"/>
  <c r="B29" i="48"/>
  <c r="B30" i="48"/>
  <c r="B31" i="48"/>
  <c r="B32" i="48"/>
  <c r="B33" i="48"/>
  <c r="D28" i="48"/>
  <c r="D29" i="48"/>
  <c r="D30" i="48"/>
  <c r="D31" i="48"/>
  <c r="D32" i="48"/>
  <c r="D33" i="48"/>
  <c r="B27" i="48"/>
  <c r="D27" i="48"/>
  <c r="D24" i="48"/>
  <c r="D25" i="48"/>
  <c r="D26" i="48"/>
  <c r="B24" i="48"/>
  <c r="B25" i="48"/>
  <c r="B26" i="48"/>
  <c r="B23" i="48"/>
  <c r="B16" i="77" s="1"/>
  <c r="D23" i="48"/>
  <c r="U103" i="48"/>
  <c r="X103" i="48"/>
  <c r="W103" i="48"/>
  <c r="Z103" i="48"/>
  <c r="D103" i="48"/>
  <c r="B103" i="48"/>
  <c r="U102" i="48"/>
  <c r="W102" i="48"/>
  <c r="Z102" i="48" s="1"/>
  <c r="D102" i="48"/>
  <c r="B102" i="48"/>
  <c r="U101" i="48"/>
  <c r="X101" i="48" s="1"/>
  <c r="W101" i="48"/>
  <c r="Z101" i="48" s="1"/>
  <c r="V101" i="48"/>
  <c r="Y101" i="48" s="1"/>
  <c r="D101" i="48"/>
  <c r="B101" i="48"/>
  <c r="U100" i="48"/>
  <c r="X100" i="48" s="1"/>
  <c r="W100" i="48"/>
  <c r="Z100" i="48" s="1"/>
  <c r="D100" i="48"/>
  <c r="B100" i="48"/>
  <c r="U99" i="48"/>
  <c r="W99" i="48" s="1"/>
  <c r="Z99" i="48" s="1"/>
  <c r="D99" i="48"/>
  <c r="B99" i="48"/>
  <c r="U98" i="48"/>
  <c r="D98" i="48"/>
  <c r="B98" i="48"/>
  <c r="U97" i="48"/>
  <c r="X97" i="48"/>
  <c r="W97" i="48"/>
  <c r="Z97" i="48"/>
  <c r="V97" i="48"/>
  <c r="Y97" i="48"/>
  <c r="D97" i="48"/>
  <c r="B97" i="48"/>
  <c r="U96" i="48"/>
  <c r="X96" i="48"/>
  <c r="W96" i="48"/>
  <c r="Z96" i="48"/>
  <c r="V96" i="48"/>
  <c r="Y96" i="48"/>
  <c r="D96" i="48"/>
  <c r="B96" i="48"/>
  <c r="U95" i="48"/>
  <c r="X95" i="48"/>
  <c r="W95" i="48"/>
  <c r="Z95" i="48"/>
  <c r="D95" i="48"/>
  <c r="B95" i="48"/>
  <c r="U94" i="48"/>
  <c r="W94" i="48"/>
  <c r="Z94" i="48" s="1"/>
  <c r="D94" i="48"/>
  <c r="B94" i="48"/>
  <c r="U93" i="48"/>
  <c r="X93" i="48" s="1"/>
  <c r="W93" i="48"/>
  <c r="Z93" i="48" s="1"/>
  <c r="V93" i="48"/>
  <c r="Y93" i="48" s="1"/>
  <c r="D93" i="48"/>
  <c r="B93" i="48"/>
  <c r="U92" i="48"/>
  <c r="X92" i="48" s="1"/>
  <c r="W92" i="48"/>
  <c r="Z92" i="48" s="1"/>
  <c r="D92" i="48"/>
  <c r="B92" i="48"/>
  <c r="U91" i="48"/>
  <c r="W91" i="48" s="1"/>
  <c r="Z91" i="48" s="1"/>
  <c r="D91" i="48"/>
  <c r="B91" i="48"/>
  <c r="U90" i="48"/>
  <c r="X90" i="48" s="1"/>
  <c r="D90" i="48"/>
  <c r="B90" i="48"/>
  <c r="U89" i="48"/>
  <c r="W89" i="48" s="1"/>
  <c r="Z89" i="48" s="1"/>
  <c r="X89" i="48"/>
  <c r="V89" i="48"/>
  <c r="Y89" i="48"/>
  <c r="D89" i="48"/>
  <c r="B89" i="48"/>
  <c r="U88" i="48"/>
  <c r="X88" i="48"/>
  <c r="W88" i="48"/>
  <c r="Z88" i="48"/>
  <c r="V88" i="48"/>
  <c r="Y88" i="48"/>
  <c r="D88" i="48"/>
  <c r="B88" i="48"/>
  <c r="I193" i="61"/>
  <c r="H193" i="61"/>
  <c r="G193" i="61"/>
  <c r="F193" i="61"/>
  <c r="E193" i="61"/>
  <c r="D193" i="61"/>
  <c r="J192" i="61"/>
  <c r="H192" i="61"/>
  <c r="G192" i="61"/>
  <c r="F192" i="61"/>
  <c r="E192" i="61"/>
  <c r="D192" i="61"/>
  <c r="J191" i="61"/>
  <c r="I191" i="61"/>
  <c r="G191" i="61"/>
  <c r="F191" i="61"/>
  <c r="E191" i="61"/>
  <c r="D191" i="61"/>
  <c r="J190" i="61"/>
  <c r="I190" i="61"/>
  <c r="H190" i="61"/>
  <c r="F190" i="61"/>
  <c r="E190" i="61"/>
  <c r="D190" i="61"/>
  <c r="J189" i="61"/>
  <c r="I189" i="61"/>
  <c r="H189" i="61"/>
  <c r="G189" i="61"/>
  <c r="E189" i="61"/>
  <c r="D189" i="61"/>
  <c r="J188" i="61"/>
  <c r="I188" i="61"/>
  <c r="H188" i="61"/>
  <c r="G188" i="61"/>
  <c r="F188" i="61"/>
  <c r="D188" i="61"/>
  <c r="J187" i="61"/>
  <c r="I187" i="61"/>
  <c r="H187" i="61"/>
  <c r="G187" i="61"/>
  <c r="F187" i="61"/>
  <c r="E187" i="61"/>
  <c r="P181" i="61"/>
  <c r="O181" i="61"/>
  <c r="N181" i="61"/>
  <c r="M181" i="61"/>
  <c r="L181" i="61"/>
  <c r="K181" i="61"/>
  <c r="J181" i="61"/>
  <c r="I181" i="61"/>
  <c r="H181" i="61"/>
  <c r="G181" i="61"/>
  <c r="F181" i="61"/>
  <c r="E181" i="61"/>
  <c r="D181" i="61"/>
  <c r="Q180" i="61"/>
  <c r="O180" i="61"/>
  <c r="N180" i="61"/>
  <c r="M180" i="61"/>
  <c r="L180" i="61"/>
  <c r="K180" i="61"/>
  <c r="J180" i="61"/>
  <c r="I180" i="61"/>
  <c r="H180" i="61"/>
  <c r="G180" i="61"/>
  <c r="F180" i="61"/>
  <c r="E180" i="61"/>
  <c r="D180" i="61"/>
  <c r="Q179" i="61"/>
  <c r="P179" i="61"/>
  <c r="N179" i="61"/>
  <c r="M179" i="61"/>
  <c r="L179" i="61"/>
  <c r="K179" i="61"/>
  <c r="J179" i="61"/>
  <c r="I179" i="61"/>
  <c r="H179" i="61"/>
  <c r="G179" i="61"/>
  <c r="F179" i="61"/>
  <c r="E179" i="61"/>
  <c r="D179" i="61"/>
  <c r="Q178" i="61"/>
  <c r="P178" i="61"/>
  <c r="O178" i="61"/>
  <c r="M178" i="61"/>
  <c r="L178" i="61"/>
  <c r="K178" i="61"/>
  <c r="J178" i="61"/>
  <c r="I178" i="61"/>
  <c r="H178" i="61"/>
  <c r="G178" i="61"/>
  <c r="F178" i="61"/>
  <c r="E178" i="61"/>
  <c r="D178" i="61"/>
  <c r="Q177" i="61"/>
  <c r="P177" i="61"/>
  <c r="O177" i="61"/>
  <c r="N177" i="61"/>
  <c r="L177" i="61"/>
  <c r="K177" i="61"/>
  <c r="J177" i="61"/>
  <c r="I177" i="61"/>
  <c r="H177" i="61"/>
  <c r="G177" i="61"/>
  <c r="F177" i="61"/>
  <c r="E177" i="61"/>
  <c r="D177" i="61"/>
  <c r="Q176" i="61"/>
  <c r="P176" i="61"/>
  <c r="O176" i="61"/>
  <c r="N176" i="61"/>
  <c r="M176" i="61"/>
  <c r="K176" i="61"/>
  <c r="J176" i="61"/>
  <c r="I176" i="61"/>
  <c r="H176" i="61"/>
  <c r="G176" i="61"/>
  <c r="F176" i="61"/>
  <c r="E176" i="61"/>
  <c r="D176" i="61"/>
  <c r="Q175" i="61"/>
  <c r="P175" i="61"/>
  <c r="O175" i="61"/>
  <c r="N175" i="61"/>
  <c r="M175" i="61"/>
  <c r="L175" i="61"/>
  <c r="J175" i="61"/>
  <c r="I175" i="61"/>
  <c r="H175" i="61"/>
  <c r="G175" i="61"/>
  <c r="F175" i="61"/>
  <c r="E175" i="61"/>
  <c r="D175" i="61"/>
  <c r="Q174" i="61"/>
  <c r="P174" i="61"/>
  <c r="O174" i="61"/>
  <c r="N174" i="61"/>
  <c r="M174" i="61"/>
  <c r="L174" i="61"/>
  <c r="K174" i="61"/>
  <c r="I174" i="61"/>
  <c r="H174" i="61"/>
  <c r="G174" i="61"/>
  <c r="F174" i="61"/>
  <c r="E174" i="61"/>
  <c r="D174" i="61"/>
  <c r="Q173" i="61"/>
  <c r="P173" i="61"/>
  <c r="O173" i="61"/>
  <c r="N173" i="61"/>
  <c r="M173" i="61"/>
  <c r="L173" i="61"/>
  <c r="K173" i="61"/>
  <c r="J173" i="61"/>
  <c r="H173" i="61"/>
  <c r="G173" i="61"/>
  <c r="F173" i="61"/>
  <c r="E173" i="61"/>
  <c r="D173" i="61"/>
  <c r="Q172" i="61"/>
  <c r="P172" i="61"/>
  <c r="O172" i="61"/>
  <c r="N172" i="61"/>
  <c r="M172" i="61"/>
  <c r="L172" i="61"/>
  <c r="K172" i="61"/>
  <c r="J172" i="61"/>
  <c r="I172" i="61"/>
  <c r="G172" i="61"/>
  <c r="F172" i="61"/>
  <c r="E172" i="61"/>
  <c r="D172" i="61"/>
  <c r="Q171" i="61"/>
  <c r="P171" i="61"/>
  <c r="O171" i="61"/>
  <c r="N171" i="61"/>
  <c r="M171" i="61"/>
  <c r="L171" i="61"/>
  <c r="K171" i="61"/>
  <c r="J171" i="61"/>
  <c r="I171" i="61"/>
  <c r="H171" i="61"/>
  <c r="F171" i="61"/>
  <c r="E171" i="61"/>
  <c r="D171" i="61"/>
  <c r="Q170" i="61"/>
  <c r="P170" i="61"/>
  <c r="O170" i="61"/>
  <c r="N170" i="61"/>
  <c r="M170" i="61"/>
  <c r="L170" i="61"/>
  <c r="K170" i="61"/>
  <c r="J170" i="61"/>
  <c r="I170" i="61"/>
  <c r="H170" i="61"/>
  <c r="G170" i="61"/>
  <c r="E170" i="61"/>
  <c r="D170" i="61"/>
  <c r="Q169" i="61"/>
  <c r="P169" i="61"/>
  <c r="O169" i="61"/>
  <c r="N169" i="61"/>
  <c r="M169" i="61"/>
  <c r="L169" i="61"/>
  <c r="K169" i="61"/>
  <c r="J169" i="61"/>
  <c r="I169" i="61"/>
  <c r="H169" i="61"/>
  <c r="G169" i="61"/>
  <c r="F169" i="61"/>
  <c r="D169" i="61"/>
  <c r="Q168" i="61"/>
  <c r="P168" i="61"/>
  <c r="O168" i="61"/>
  <c r="N168" i="61"/>
  <c r="M168" i="61"/>
  <c r="L168" i="61"/>
  <c r="K168" i="61"/>
  <c r="J168" i="61"/>
  <c r="I168" i="61"/>
  <c r="H168" i="61"/>
  <c r="G168" i="61"/>
  <c r="F168" i="61"/>
  <c r="E168" i="61"/>
  <c r="J163" i="61"/>
  <c r="I163" i="61"/>
  <c r="H163" i="61"/>
  <c r="G163" i="61"/>
  <c r="F163" i="61"/>
  <c r="E163" i="61"/>
  <c r="K162" i="61"/>
  <c r="I162" i="61"/>
  <c r="H162" i="61"/>
  <c r="G162" i="61"/>
  <c r="F162" i="61"/>
  <c r="E162" i="61"/>
  <c r="K161" i="61"/>
  <c r="J161" i="61"/>
  <c r="H161" i="61"/>
  <c r="G161" i="61"/>
  <c r="F161" i="61"/>
  <c r="E161" i="61"/>
  <c r="K160" i="61"/>
  <c r="J160" i="61"/>
  <c r="I160" i="61"/>
  <c r="G160" i="61"/>
  <c r="F160" i="61"/>
  <c r="E160" i="61"/>
  <c r="K159" i="61"/>
  <c r="J159" i="61"/>
  <c r="I159" i="61"/>
  <c r="H159" i="61"/>
  <c r="F159" i="61"/>
  <c r="E159" i="61"/>
  <c r="K158" i="61"/>
  <c r="J158" i="61"/>
  <c r="I158" i="61"/>
  <c r="H158" i="61"/>
  <c r="G158" i="61"/>
  <c r="E158" i="61"/>
  <c r="K157" i="61"/>
  <c r="J157" i="61"/>
  <c r="I157" i="61"/>
  <c r="H157" i="61"/>
  <c r="G157" i="61"/>
  <c r="F157" i="61"/>
  <c r="L152" i="61"/>
  <c r="K152" i="61"/>
  <c r="J152" i="61"/>
  <c r="I152" i="61"/>
  <c r="H152" i="61"/>
  <c r="G152" i="61"/>
  <c r="F152" i="61"/>
  <c r="E152" i="61"/>
  <c r="D152" i="61"/>
  <c r="M151" i="61"/>
  <c r="K151" i="61"/>
  <c r="J151" i="61"/>
  <c r="I151" i="61"/>
  <c r="H151" i="61"/>
  <c r="G151" i="61"/>
  <c r="F151" i="61"/>
  <c r="E151" i="61"/>
  <c r="D151" i="61"/>
  <c r="M150" i="61"/>
  <c r="L150" i="61"/>
  <c r="J150" i="61"/>
  <c r="I150" i="61"/>
  <c r="H150" i="61"/>
  <c r="G150" i="61"/>
  <c r="F150" i="61"/>
  <c r="E150" i="61"/>
  <c r="D150" i="61"/>
  <c r="M149" i="61"/>
  <c r="L149" i="61"/>
  <c r="K149" i="61"/>
  <c r="I149" i="61"/>
  <c r="H149" i="61"/>
  <c r="G149" i="61"/>
  <c r="F149" i="61"/>
  <c r="E149" i="61"/>
  <c r="D149" i="61"/>
  <c r="M148" i="61"/>
  <c r="L148" i="61"/>
  <c r="K148" i="61"/>
  <c r="J148" i="61"/>
  <c r="H148" i="61"/>
  <c r="G148" i="61"/>
  <c r="F148" i="61"/>
  <c r="E148" i="61"/>
  <c r="D148" i="61"/>
  <c r="M147" i="61"/>
  <c r="L147" i="61"/>
  <c r="K147" i="61"/>
  <c r="J147" i="61"/>
  <c r="I147" i="61"/>
  <c r="G147" i="61"/>
  <c r="F147" i="61"/>
  <c r="E147" i="61"/>
  <c r="D147" i="61"/>
  <c r="M146" i="61"/>
  <c r="L146" i="61"/>
  <c r="K146" i="61"/>
  <c r="J146" i="61"/>
  <c r="I146" i="61"/>
  <c r="H146" i="61"/>
  <c r="F146" i="61"/>
  <c r="E146" i="61"/>
  <c r="D146" i="61"/>
  <c r="M145" i="61"/>
  <c r="L145" i="61"/>
  <c r="K145" i="61"/>
  <c r="J145" i="61"/>
  <c r="I145" i="61"/>
  <c r="H145" i="61"/>
  <c r="G145" i="61"/>
  <c r="E145" i="61"/>
  <c r="D145" i="61"/>
  <c r="M144" i="61"/>
  <c r="L144" i="61"/>
  <c r="K144" i="61"/>
  <c r="J144" i="61"/>
  <c r="I144" i="61"/>
  <c r="H144" i="61"/>
  <c r="G144" i="61"/>
  <c r="F144" i="61"/>
  <c r="D144" i="61"/>
  <c r="M143" i="61"/>
  <c r="L143" i="61"/>
  <c r="K143" i="61"/>
  <c r="J143" i="61"/>
  <c r="I143" i="61"/>
  <c r="H143" i="61"/>
  <c r="G143" i="61"/>
  <c r="F143" i="61"/>
  <c r="E143" i="61"/>
  <c r="E138" i="61"/>
  <c r="D138" i="61"/>
  <c r="F137" i="61"/>
  <c r="D137" i="61"/>
  <c r="F136" i="61"/>
  <c r="E136" i="61"/>
  <c r="G131" i="61"/>
  <c r="F131" i="61"/>
  <c r="E131" i="61"/>
  <c r="D131" i="61"/>
  <c r="H130" i="61"/>
  <c r="F130" i="61"/>
  <c r="E130" i="61"/>
  <c r="D130" i="61"/>
  <c r="H129" i="61"/>
  <c r="G129" i="61"/>
  <c r="E129" i="61"/>
  <c r="D129" i="61"/>
  <c r="H128" i="61"/>
  <c r="G128" i="61"/>
  <c r="F128" i="61"/>
  <c r="D128" i="61"/>
  <c r="H127" i="61"/>
  <c r="G127" i="61"/>
  <c r="F127" i="61"/>
  <c r="E127" i="61"/>
  <c r="K120" i="61"/>
  <c r="J120" i="61"/>
  <c r="I120" i="61"/>
  <c r="H120" i="61"/>
  <c r="G120" i="61"/>
  <c r="F120" i="61"/>
  <c r="E120" i="61"/>
  <c r="D120" i="61"/>
  <c r="L119" i="61"/>
  <c r="J119" i="61"/>
  <c r="I119" i="61"/>
  <c r="H119" i="61"/>
  <c r="G119" i="61"/>
  <c r="F119" i="61"/>
  <c r="E119" i="61"/>
  <c r="D119" i="61"/>
  <c r="L118" i="61"/>
  <c r="K118" i="61"/>
  <c r="I118" i="61"/>
  <c r="H118" i="61"/>
  <c r="G118" i="61"/>
  <c r="F118" i="61"/>
  <c r="E118" i="61"/>
  <c r="D118" i="61"/>
  <c r="L117" i="61"/>
  <c r="K117" i="61"/>
  <c r="J117" i="61"/>
  <c r="H117" i="61"/>
  <c r="G117" i="61"/>
  <c r="F117" i="61"/>
  <c r="E117" i="61"/>
  <c r="D117" i="61"/>
  <c r="L116" i="61"/>
  <c r="K116" i="61"/>
  <c r="J116" i="61"/>
  <c r="I116" i="61"/>
  <c r="G116" i="61"/>
  <c r="F116" i="61"/>
  <c r="E116" i="61"/>
  <c r="D116" i="61"/>
  <c r="L115" i="61"/>
  <c r="K115" i="61"/>
  <c r="J115" i="61"/>
  <c r="I115" i="61"/>
  <c r="H115" i="61"/>
  <c r="F115" i="61"/>
  <c r="E115" i="61"/>
  <c r="D115" i="61"/>
  <c r="L114" i="61"/>
  <c r="K114" i="61"/>
  <c r="J114" i="61"/>
  <c r="I114" i="61"/>
  <c r="H114" i="61"/>
  <c r="G114" i="61"/>
  <c r="E114" i="61"/>
  <c r="D114" i="61"/>
  <c r="L113" i="61"/>
  <c r="K113" i="61"/>
  <c r="J113" i="61"/>
  <c r="I113" i="61"/>
  <c r="H113" i="61"/>
  <c r="G113" i="61"/>
  <c r="F113" i="61"/>
  <c r="D113" i="61"/>
  <c r="L112" i="61"/>
  <c r="K112" i="61"/>
  <c r="J112" i="61"/>
  <c r="I112" i="61"/>
  <c r="H112" i="61"/>
  <c r="G112" i="61"/>
  <c r="F112" i="61"/>
  <c r="E112" i="61"/>
  <c r="H103" i="61"/>
  <c r="G103" i="61"/>
  <c r="F103" i="61"/>
  <c r="E103" i="61"/>
  <c r="D103" i="61"/>
  <c r="I102" i="61"/>
  <c r="G102" i="61"/>
  <c r="F102" i="61"/>
  <c r="E102" i="61"/>
  <c r="D102" i="61"/>
  <c r="I101" i="61"/>
  <c r="H101" i="61"/>
  <c r="F101" i="61"/>
  <c r="E101" i="61"/>
  <c r="D101" i="61"/>
  <c r="I100" i="61"/>
  <c r="H100" i="61"/>
  <c r="G100" i="61"/>
  <c r="E100" i="61"/>
  <c r="D100" i="61"/>
  <c r="I99" i="61"/>
  <c r="H99" i="61"/>
  <c r="G99" i="61"/>
  <c r="F99" i="61"/>
  <c r="D99" i="61"/>
  <c r="I98" i="61"/>
  <c r="H98" i="61"/>
  <c r="G98" i="61"/>
  <c r="F98" i="61"/>
  <c r="E98" i="61"/>
  <c r="L93" i="61"/>
  <c r="K93" i="61"/>
  <c r="J93" i="61"/>
  <c r="I93" i="61"/>
  <c r="H93" i="61"/>
  <c r="G93" i="61"/>
  <c r="F93" i="61"/>
  <c r="E93" i="61"/>
  <c r="D93" i="61"/>
  <c r="M92" i="61"/>
  <c r="K92" i="61"/>
  <c r="J92" i="61"/>
  <c r="I92" i="61"/>
  <c r="H92" i="61"/>
  <c r="G92" i="61"/>
  <c r="F92" i="61"/>
  <c r="E92" i="61"/>
  <c r="D92" i="61"/>
  <c r="M91" i="61"/>
  <c r="L91" i="61"/>
  <c r="J91" i="61"/>
  <c r="I91" i="61"/>
  <c r="H91" i="61"/>
  <c r="G91" i="61"/>
  <c r="F91" i="61"/>
  <c r="E91" i="61"/>
  <c r="D91" i="61"/>
  <c r="M90" i="61"/>
  <c r="L90" i="61"/>
  <c r="K90" i="61"/>
  <c r="I90" i="61"/>
  <c r="H90" i="61"/>
  <c r="G90" i="61"/>
  <c r="F90" i="61"/>
  <c r="E90" i="61"/>
  <c r="D90" i="61"/>
  <c r="M89" i="61"/>
  <c r="L89" i="61"/>
  <c r="K89" i="61"/>
  <c r="J89" i="61"/>
  <c r="H89" i="61"/>
  <c r="G89" i="61"/>
  <c r="F89" i="61"/>
  <c r="E89" i="61"/>
  <c r="D89" i="61"/>
  <c r="M88" i="61"/>
  <c r="L88" i="61"/>
  <c r="K88" i="61"/>
  <c r="J88" i="61"/>
  <c r="I88" i="61"/>
  <c r="G88" i="61"/>
  <c r="F88" i="61"/>
  <c r="E88" i="61"/>
  <c r="D88" i="61"/>
  <c r="M87" i="61"/>
  <c r="L87" i="61"/>
  <c r="K87" i="61"/>
  <c r="J87" i="61"/>
  <c r="I87" i="61"/>
  <c r="H87" i="61"/>
  <c r="F87" i="61"/>
  <c r="E87" i="61"/>
  <c r="D87" i="61"/>
  <c r="M86" i="61"/>
  <c r="L86" i="61"/>
  <c r="K86" i="61"/>
  <c r="J86" i="61"/>
  <c r="I86" i="61"/>
  <c r="H86" i="61"/>
  <c r="G86" i="61"/>
  <c r="E86" i="61"/>
  <c r="D86" i="61"/>
  <c r="M85" i="61"/>
  <c r="L85" i="61"/>
  <c r="K85" i="61"/>
  <c r="J85" i="61"/>
  <c r="I85" i="61"/>
  <c r="H85" i="61"/>
  <c r="G85" i="61"/>
  <c r="F85" i="61"/>
  <c r="D85" i="61"/>
  <c r="M84" i="61"/>
  <c r="L84" i="61"/>
  <c r="K84" i="61"/>
  <c r="J84" i="61"/>
  <c r="I84" i="61"/>
  <c r="H84" i="61"/>
  <c r="G84" i="61"/>
  <c r="F84" i="61"/>
  <c r="E84" i="61"/>
  <c r="H79" i="61"/>
  <c r="G79" i="61"/>
  <c r="F79" i="61"/>
  <c r="E79" i="61"/>
  <c r="D79" i="61"/>
  <c r="I78" i="61"/>
  <c r="G78" i="61"/>
  <c r="F78" i="61"/>
  <c r="E78" i="61"/>
  <c r="D78" i="61"/>
  <c r="I77" i="61"/>
  <c r="H77" i="61"/>
  <c r="F77" i="61"/>
  <c r="E77" i="61"/>
  <c r="D77" i="61"/>
  <c r="I76" i="61"/>
  <c r="H76" i="61"/>
  <c r="G76" i="61"/>
  <c r="E76" i="61"/>
  <c r="D76" i="61"/>
  <c r="I75" i="61"/>
  <c r="H75" i="61"/>
  <c r="G75" i="61"/>
  <c r="F75" i="61"/>
  <c r="D75" i="61"/>
  <c r="I74" i="61"/>
  <c r="H74" i="61"/>
  <c r="G74" i="61"/>
  <c r="F74" i="61"/>
  <c r="E74" i="61"/>
  <c r="S67" i="61"/>
  <c r="R67" i="61"/>
  <c r="Q67" i="61"/>
  <c r="P67" i="61"/>
  <c r="O67" i="61"/>
  <c r="N67" i="61"/>
  <c r="M67" i="61"/>
  <c r="L67" i="61"/>
  <c r="K67" i="61"/>
  <c r="J67" i="61"/>
  <c r="I67" i="61"/>
  <c r="H67" i="61"/>
  <c r="G67" i="61"/>
  <c r="F67" i="61"/>
  <c r="E67" i="61"/>
  <c r="D67" i="61"/>
  <c r="T66" i="61"/>
  <c r="R66" i="61"/>
  <c r="Q66" i="61"/>
  <c r="P66" i="61"/>
  <c r="O66" i="61"/>
  <c r="N66" i="61"/>
  <c r="M66" i="61"/>
  <c r="L66" i="61"/>
  <c r="K66" i="61"/>
  <c r="J66" i="61"/>
  <c r="I66" i="61"/>
  <c r="H66" i="61"/>
  <c r="G66" i="61"/>
  <c r="F66" i="61"/>
  <c r="E66" i="61"/>
  <c r="D66" i="61"/>
  <c r="T65" i="61"/>
  <c r="S65" i="61"/>
  <c r="Q65" i="61"/>
  <c r="P65" i="61"/>
  <c r="O65" i="61"/>
  <c r="N65" i="61"/>
  <c r="M65" i="61"/>
  <c r="L65" i="61"/>
  <c r="K65" i="61"/>
  <c r="J65" i="61"/>
  <c r="I65" i="61"/>
  <c r="H65" i="61"/>
  <c r="G65" i="61"/>
  <c r="F65" i="61"/>
  <c r="E65" i="61"/>
  <c r="D65" i="61"/>
  <c r="T64" i="61"/>
  <c r="S64" i="61"/>
  <c r="R64" i="61"/>
  <c r="P64" i="61"/>
  <c r="O64" i="61"/>
  <c r="N64" i="61"/>
  <c r="M64" i="61"/>
  <c r="L64" i="61"/>
  <c r="K64" i="61"/>
  <c r="J64" i="61"/>
  <c r="I64" i="61"/>
  <c r="H64" i="61"/>
  <c r="G64" i="61"/>
  <c r="F64" i="61"/>
  <c r="E64" i="61"/>
  <c r="D64" i="61"/>
  <c r="T63" i="61"/>
  <c r="S63" i="61"/>
  <c r="R63" i="61"/>
  <c r="Q63" i="61"/>
  <c r="O63" i="61"/>
  <c r="N63" i="61"/>
  <c r="M63" i="61"/>
  <c r="L63" i="61"/>
  <c r="K63" i="61"/>
  <c r="J63" i="61"/>
  <c r="I63" i="61"/>
  <c r="H63" i="61"/>
  <c r="G63" i="61"/>
  <c r="F63" i="61"/>
  <c r="E63" i="61"/>
  <c r="D63" i="61"/>
  <c r="T62" i="61"/>
  <c r="S62" i="61"/>
  <c r="R62" i="61"/>
  <c r="Q62" i="61"/>
  <c r="P62" i="61"/>
  <c r="N62" i="61"/>
  <c r="M62" i="61"/>
  <c r="L62" i="61"/>
  <c r="K62" i="61"/>
  <c r="J62" i="61"/>
  <c r="I62" i="61"/>
  <c r="H62" i="61"/>
  <c r="G62" i="61"/>
  <c r="F62" i="61"/>
  <c r="E62" i="61"/>
  <c r="D62" i="61"/>
  <c r="T61" i="61"/>
  <c r="S61" i="61"/>
  <c r="R61" i="61"/>
  <c r="Q61" i="61"/>
  <c r="P61" i="61"/>
  <c r="O61" i="61"/>
  <c r="M61" i="61"/>
  <c r="L61" i="61"/>
  <c r="K61" i="61"/>
  <c r="J61" i="61"/>
  <c r="I61" i="61"/>
  <c r="H61" i="61"/>
  <c r="G61" i="61"/>
  <c r="F61" i="61"/>
  <c r="E61" i="61"/>
  <c r="D61" i="61"/>
  <c r="T60" i="61"/>
  <c r="S60" i="61"/>
  <c r="R60" i="61"/>
  <c r="Q60" i="61"/>
  <c r="P60" i="61"/>
  <c r="O60" i="61"/>
  <c r="N60" i="61"/>
  <c r="L60" i="61"/>
  <c r="K60" i="61"/>
  <c r="J60" i="61"/>
  <c r="I60" i="61"/>
  <c r="H60" i="61"/>
  <c r="G60" i="61"/>
  <c r="F60" i="61"/>
  <c r="E60" i="61"/>
  <c r="D60" i="61"/>
  <c r="T59" i="61"/>
  <c r="S59" i="61"/>
  <c r="R59" i="61"/>
  <c r="Q59" i="61"/>
  <c r="P59" i="61"/>
  <c r="O59" i="61"/>
  <c r="N59" i="61"/>
  <c r="M59" i="61"/>
  <c r="K59" i="61"/>
  <c r="J59" i="61"/>
  <c r="I59" i="61"/>
  <c r="H59" i="61"/>
  <c r="G59" i="61"/>
  <c r="F59" i="61"/>
  <c r="E59" i="61"/>
  <c r="D59" i="61"/>
  <c r="T58" i="61"/>
  <c r="S58" i="61"/>
  <c r="R58" i="61"/>
  <c r="Q58" i="61"/>
  <c r="P58" i="61"/>
  <c r="O58" i="61"/>
  <c r="N58" i="61"/>
  <c r="M58" i="61"/>
  <c r="L58" i="61"/>
  <c r="J58" i="61"/>
  <c r="I58" i="61"/>
  <c r="H58" i="61"/>
  <c r="G58" i="61"/>
  <c r="F58" i="61"/>
  <c r="E58" i="61"/>
  <c r="D58" i="61"/>
  <c r="T57" i="61"/>
  <c r="S57" i="61"/>
  <c r="R57" i="61"/>
  <c r="Q57" i="61"/>
  <c r="P57" i="61"/>
  <c r="O57" i="61"/>
  <c r="N57" i="61"/>
  <c r="M57" i="61"/>
  <c r="L57" i="61"/>
  <c r="K57" i="61"/>
  <c r="I57" i="61"/>
  <c r="H57" i="61"/>
  <c r="G57" i="61"/>
  <c r="F57" i="61"/>
  <c r="E57" i="61"/>
  <c r="D57" i="61"/>
  <c r="T56" i="61"/>
  <c r="S56" i="61"/>
  <c r="R56" i="61"/>
  <c r="Q56" i="61"/>
  <c r="P56" i="61"/>
  <c r="O56" i="61"/>
  <c r="N56" i="61"/>
  <c r="M56" i="61"/>
  <c r="L56" i="61"/>
  <c r="K56" i="61"/>
  <c r="J56" i="61"/>
  <c r="H56" i="61"/>
  <c r="G56" i="61"/>
  <c r="F56" i="61"/>
  <c r="E56" i="61"/>
  <c r="D56" i="61"/>
  <c r="T55" i="61"/>
  <c r="S55" i="61"/>
  <c r="R55" i="61"/>
  <c r="Q55" i="61"/>
  <c r="P55" i="61"/>
  <c r="O55" i="61"/>
  <c r="N55" i="61"/>
  <c r="M55" i="61"/>
  <c r="L55" i="61"/>
  <c r="K55" i="61"/>
  <c r="J55" i="61"/>
  <c r="I55" i="61"/>
  <c r="G55" i="61"/>
  <c r="F55" i="61"/>
  <c r="E55" i="61"/>
  <c r="D55" i="61"/>
  <c r="T54" i="61"/>
  <c r="S54" i="61"/>
  <c r="R54" i="61"/>
  <c r="Q54" i="61"/>
  <c r="P54" i="61"/>
  <c r="O54" i="61"/>
  <c r="N54" i="61"/>
  <c r="M54" i="61"/>
  <c r="L54" i="61"/>
  <c r="K54" i="61"/>
  <c r="J54" i="61"/>
  <c r="I54" i="61"/>
  <c r="H54" i="61"/>
  <c r="F54" i="61"/>
  <c r="E54" i="61"/>
  <c r="D54" i="61"/>
  <c r="T53" i="61"/>
  <c r="S53" i="61"/>
  <c r="R53" i="61"/>
  <c r="Q53" i="61"/>
  <c r="P53" i="61"/>
  <c r="O53" i="61"/>
  <c r="N53" i="61"/>
  <c r="M53" i="61"/>
  <c r="L53" i="61"/>
  <c r="K53" i="61"/>
  <c r="J53" i="61"/>
  <c r="I53" i="61"/>
  <c r="H53" i="61"/>
  <c r="G53" i="61"/>
  <c r="E53" i="61"/>
  <c r="D53" i="61"/>
  <c r="T52" i="61"/>
  <c r="S52" i="61"/>
  <c r="R52" i="61"/>
  <c r="Q52" i="61"/>
  <c r="P52" i="61"/>
  <c r="O52" i="61"/>
  <c r="N52" i="61"/>
  <c r="M52" i="61"/>
  <c r="L52" i="61"/>
  <c r="K52" i="61"/>
  <c r="J52" i="61"/>
  <c r="I52" i="61"/>
  <c r="H52" i="61"/>
  <c r="G52" i="61"/>
  <c r="F52" i="61"/>
  <c r="D52" i="61"/>
  <c r="T51" i="61"/>
  <c r="S51" i="61"/>
  <c r="R51" i="61"/>
  <c r="Q51" i="61"/>
  <c r="P51" i="61"/>
  <c r="O51" i="61"/>
  <c r="N51" i="61"/>
  <c r="M51" i="61"/>
  <c r="L51" i="61"/>
  <c r="K51" i="61"/>
  <c r="J51" i="61"/>
  <c r="I51" i="61"/>
  <c r="H51" i="61"/>
  <c r="G51" i="61"/>
  <c r="F51" i="61"/>
  <c r="E51" i="61"/>
  <c r="N44" i="61"/>
  <c r="M44" i="61"/>
  <c r="L44" i="61"/>
  <c r="K44" i="61"/>
  <c r="J44" i="61"/>
  <c r="I44" i="61"/>
  <c r="H44" i="61"/>
  <c r="G44" i="61"/>
  <c r="F44" i="61"/>
  <c r="E44" i="61"/>
  <c r="D44" i="61"/>
  <c r="O43" i="61"/>
  <c r="M43" i="61"/>
  <c r="L43" i="61"/>
  <c r="K43" i="61"/>
  <c r="J43" i="61"/>
  <c r="I43" i="61"/>
  <c r="H43" i="61"/>
  <c r="G43" i="61"/>
  <c r="F43" i="61"/>
  <c r="E43" i="61"/>
  <c r="D43" i="61"/>
  <c r="O42" i="61"/>
  <c r="N42" i="61"/>
  <c r="L42" i="61"/>
  <c r="K42" i="61"/>
  <c r="J42" i="61"/>
  <c r="I42" i="61"/>
  <c r="H42" i="61"/>
  <c r="G42" i="61"/>
  <c r="F42" i="61"/>
  <c r="E42" i="61"/>
  <c r="D42" i="61"/>
  <c r="O41" i="61"/>
  <c r="N41" i="61"/>
  <c r="M41" i="61"/>
  <c r="K41" i="61"/>
  <c r="J41" i="61"/>
  <c r="I41" i="61"/>
  <c r="H41" i="61"/>
  <c r="G41" i="61"/>
  <c r="F41" i="61"/>
  <c r="E41" i="61"/>
  <c r="D41" i="61"/>
  <c r="O40" i="61"/>
  <c r="N40" i="61"/>
  <c r="M40" i="61"/>
  <c r="L40" i="61"/>
  <c r="J40" i="61"/>
  <c r="I40" i="61"/>
  <c r="H40" i="61"/>
  <c r="G40" i="61"/>
  <c r="F40" i="61"/>
  <c r="E40" i="61"/>
  <c r="D40" i="61"/>
  <c r="O39" i="61"/>
  <c r="N39" i="61"/>
  <c r="M39" i="61"/>
  <c r="L39" i="61"/>
  <c r="K39" i="61"/>
  <c r="I39" i="61"/>
  <c r="H39" i="61"/>
  <c r="G39" i="61"/>
  <c r="F39" i="61"/>
  <c r="E39" i="61"/>
  <c r="D39" i="61"/>
  <c r="O38" i="61"/>
  <c r="N38" i="61"/>
  <c r="M38" i="61"/>
  <c r="L38" i="61"/>
  <c r="K38" i="61"/>
  <c r="J38" i="61"/>
  <c r="H38" i="61"/>
  <c r="G38" i="61"/>
  <c r="F38" i="61"/>
  <c r="E38" i="61"/>
  <c r="D38" i="61"/>
  <c r="O37" i="61"/>
  <c r="N37" i="61"/>
  <c r="M37" i="61"/>
  <c r="L37" i="61"/>
  <c r="K37" i="61"/>
  <c r="J37" i="61"/>
  <c r="I37" i="61"/>
  <c r="G37" i="61"/>
  <c r="F37" i="61"/>
  <c r="E37" i="61"/>
  <c r="D37" i="61"/>
  <c r="O36" i="61"/>
  <c r="N36" i="61"/>
  <c r="M36" i="61"/>
  <c r="L36" i="61"/>
  <c r="K36" i="61"/>
  <c r="J36" i="61"/>
  <c r="I36" i="61"/>
  <c r="H36" i="61"/>
  <c r="F36" i="61"/>
  <c r="E36" i="61"/>
  <c r="D36" i="61"/>
  <c r="O35" i="61"/>
  <c r="N35" i="61"/>
  <c r="M35" i="61"/>
  <c r="L35" i="61"/>
  <c r="K35" i="61"/>
  <c r="J35" i="61"/>
  <c r="I35" i="61"/>
  <c r="H35" i="61"/>
  <c r="G35" i="61"/>
  <c r="E35" i="61"/>
  <c r="D35" i="61"/>
  <c r="O34" i="61"/>
  <c r="N34" i="61"/>
  <c r="M34" i="61"/>
  <c r="L34" i="61"/>
  <c r="K34" i="61"/>
  <c r="J34" i="61"/>
  <c r="I34" i="61"/>
  <c r="H34" i="61"/>
  <c r="G34" i="61"/>
  <c r="F34" i="61"/>
  <c r="D34" i="61"/>
  <c r="O33" i="61"/>
  <c r="N33" i="61"/>
  <c r="M33" i="61"/>
  <c r="L33" i="61"/>
  <c r="K33" i="61"/>
  <c r="J33" i="61"/>
  <c r="I33" i="61"/>
  <c r="H33" i="61"/>
  <c r="G33" i="61"/>
  <c r="F33" i="61"/>
  <c r="E33" i="61"/>
  <c r="P28" i="61"/>
  <c r="O28" i="61"/>
  <c r="N28" i="61"/>
  <c r="M28" i="61"/>
  <c r="L28" i="61"/>
  <c r="K28" i="61"/>
  <c r="J28" i="61"/>
  <c r="I28" i="61"/>
  <c r="H28" i="61"/>
  <c r="G28" i="61"/>
  <c r="F28" i="61"/>
  <c r="E28" i="61"/>
  <c r="D28" i="61"/>
  <c r="Q27" i="61"/>
  <c r="O27" i="61"/>
  <c r="N27" i="61"/>
  <c r="M27" i="61"/>
  <c r="L17" i="61"/>
  <c r="L27" i="61" s="1"/>
  <c r="K27" i="61"/>
  <c r="J27" i="61"/>
  <c r="I27" i="61"/>
  <c r="H27" i="61"/>
  <c r="G27" i="61"/>
  <c r="F27" i="61"/>
  <c r="E27" i="61"/>
  <c r="D27" i="61"/>
  <c r="Q26" i="61"/>
  <c r="P26" i="61"/>
  <c r="N26" i="61"/>
  <c r="M26" i="61"/>
  <c r="L26" i="61"/>
  <c r="K26" i="61"/>
  <c r="J26" i="61"/>
  <c r="I26" i="61"/>
  <c r="H26" i="61"/>
  <c r="G26" i="61"/>
  <c r="F26" i="61"/>
  <c r="E26" i="61"/>
  <c r="D26" i="61"/>
  <c r="Q25" i="61"/>
  <c r="P25" i="61"/>
  <c r="O25" i="61"/>
  <c r="M25" i="61"/>
  <c r="L25" i="61"/>
  <c r="K25" i="61"/>
  <c r="J25" i="61"/>
  <c r="I25" i="61"/>
  <c r="H25" i="61"/>
  <c r="G25" i="61"/>
  <c r="F25" i="61"/>
  <c r="E25" i="61"/>
  <c r="D25" i="61"/>
  <c r="Q24" i="61"/>
  <c r="P24" i="61"/>
  <c r="O24" i="61"/>
  <c r="N24" i="61"/>
  <c r="L24" i="61"/>
  <c r="K24" i="61"/>
  <c r="J24" i="61"/>
  <c r="I24" i="61"/>
  <c r="H24" i="61"/>
  <c r="G24" i="61"/>
  <c r="F24" i="61"/>
  <c r="E24" i="61"/>
  <c r="D24" i="61"/>
  <c r="Q23" i="61"/>
  <c r="P23" i="61"/>
  <c r="O23" i="61"/>
  <c r="N23" i="61"/>
  <c r="M23" i="61"/>
  <c r="K23" i="61"/>
  <c r="J23" i="61"/>
  <c r="I23" i="61"/>
  <c r="H23" i="61"/>
  <c r="G23" i="61"/>
  <c r="F23" i="61"/>
  <c r="E23" i="61"/>
  <c r="D23" i="61"/>
  <c r="Q22" i="61"/>
  <c r="P22" i="61"/>
  <c r="O22" i="61"/>
  <c r="N22" i="61"/>
  <c r="M22" i="61"/>
  <c r="L22" i="61"/>
  <c r="J22" i="61"/>
  <c r="I22" i="61"/>
  <c r="H22" i="61"/>
  <c r="G22" i="61"/>
  <c r="F22" i="61"/>
  <c r="E22" i="61"/>
  <c r="D22" i="61"/>
  <c r="Q21" i="61"/>
  <c r="P21" i="61"/>
  <c r="O21" i="61"/>
  <c r="N21" i="61"/>
  <c r="M21" i="61"/>
  <c r="L21" i="61"/>
  <c r="K21" i="61"/>
  <c r="I21" i="61"/>
  <c r="H21" i="61"/>
  <c r="G21" i="61"/>
  <c r="F21" i="61"/>
  <c r="E21" i="61"/>
  <c r="D21" i="61"/>
  <c r="Q20" i="61"/>
  <c r="P20" i="61"/>
  <c r="O20" i="61"/>
  <c r="N20" i="61"/>
  <c r="M20" i="61"/>
  <c r="L20" i="61"/>
  <c r="K20" i="61"/>
  <c r="J20" i="61"/>
  <c r="H20" i="61"/>
  <c r="G20" i="61"/>
  <c r="F20" i="61"/>
  <c r="E20" i="61"/>
  <c r="D20" i="61"/>
  <c r="Q19" i="61"/>
  <c r="P19" i="61"/>
  <c r="O19" i="61"/>
  <c r="N19" i="61"/>
  <c r="M19" i="61"/>
  <c r="L19" i="61"/>
  <c r="K19" i="61"/>
  <c r="J19" i="61"/>
  <c r="I19" i="61"/>
  <c r="G19" i="61"/>
  <c r="F19" i="61"/>
  <c r="E19" i="61"/>
  <c r="D19" i="61"/>
  <c r="Q18" i="61"/>
  <c r="P18" i="61"/>
  <c r="O18" i="61"/>
  <c r="N18" i="61"/>
  <c r="M18" i="61"/>
  <c r="L18" i="61"/>
  <c r="K18" i="61"/>
  <c r="J18" i="61"/>
  <c r="I18" i="61"/>
  <c r="H18" i="61"/>
  <c r="F18" i="61"/>
  <c r="E18" i="61"/>
  <c r="D18" i="61"/>
  <c r="Q17" i="61"/>
  <c r="P17" i="61"/>
  <c r="O17" i="61"/>
  <c r="N17" i="61"/>
  <c r="M17" i="61"/>
  <c r="K17" i="61"/>
  <c r="J17" i="61"/>
  <c r="I17" i="61"/>
  <c r="H17" i="61"/>
  <c r="G17" i="61"/>
  <c r="E17" i="61"/>
  <c r="D17" i="61"/>
  <c r="Q16" i="61"/>
  <c r="P16" i="61"/>
  <c r="O16" i="61"/>
  <c r="N16" i="61"/>
  <c r="M16" i="61"/>
  <c r="L16" i="61"/>
  <c r="K16" i="61"/>
  <c r="J16" i="61"/>
  <c r="I16" i="61"/>
  <c r="H16" i="61"/>
  <c r="G16" i="61"/>
  <c r="F16" i="61"/>
  <c r="D16" i="61"/>
  <c r="Q15" i="61"/>
  <c r="P15" i="61"/>
  <c r="O15" i="61"/>
  <c r="N15" i="61"/>
  <c r="M15" i="61"/>
  <c r="L15" i="61"/>
  <c r="K15" i="61"/>
  <c r="J15" i="61"/>
  <c r="I15" i="61"/>
  <c r="H15" i="61"/>
  <c r="G15" i="61"/>
  <c r="F15" i="61"/>
  <c r="E15" i="61"/>
  <c r="J82" i="22"/>
  <c r="J83" i="22"/>
  <c r="J84" i="22"/>
  <c r="J85" i="22"/>
  <c r="J86" i="22"/>
  <c r="J87" i="22"/>
  <c r="J88" i="22"/>
  <c r="J89" i="22"/>
  <c r="J90" i="22"/>
  <c r="J91" i="22"/>
  <c r="J92" i="22"/>
  <c r="J93" i="22"/>
  <c r="J94" i="22"/>
  <c r="J95" i="22"/>
  <c r="J96" i="22"/>
  <c r="J97" i="22"/>
  <c r="J81" i="22"/>
  <c r="D82" i="22"/>
  <c r="D83" i="22"/>
  <c r="D84" i="22"/>
  <c r="D85" i="22"/>
  <c r="D86" i="22"/>
  <c r="D87" i="22"/>
  <c r="D88" i="22"/>
  <c r="D89" i="22"/>
  <c r="D90" i="22"/>
  <c r="D91" i="22"/>
  <c r="D92" i="22"/>
  <c r="D93" i="22"/>
  <c r="D94" i="22"/>
  <c r="D95" i="22"/>
  <c r="D96" i="22"/>
  <c r="D97" i="22"/>
  <c r="D81" i="22"/>
  <c r="O66" i="22"/>
  <c r="O67" i="22"/>
  <c r="O68" i="22"/>
  <c r="O69" i="22"/>
  <c r="O70" i="22"/>
  <c r="O71" i="22"/>
  <c r="O72" i="22"/>
  <c r="O73" i="22"/>
  <c r="O74" i="22"/>
  <c r="O75" i="22"/>
  <c r="O76" i="22"/>
  <c r="O77" i="22"/>
  <c r="O65" i="22"/>
  <c r="G71" i="22"/>
  <c r="D27" i="18"/>
  <c r="E18" i="18"/>
  <c r="D18" i="18"/>
  <c r="C18" i="18"/>
  <c r="D8" i="42"/>
  <c r="C8" i="42"/>
  <c r="D2" i="42"/>
  <c r="F5" i="42"/>
  <c r="F4" i="42"/>
  <c r="F3" i="42"/>
  <c r="D2" i="43"/>
  <c r="E3" i="43"/>
  <c r="E4" i="43"/>
  <c r="C7" i="43" s="1"/>
  <c r="C8" i="43"/>
  <c r="D8" i="43"/>
  <c r="F3" i="43"/>
  <c r="F4" i="43" s="1"/>
  <c r="D2" i="41"/>
  <c r="D8" i="41"/>
  <c r="C8" i="41"/>
  <c r="F4" i="41"/>
  <c r="F3" i="41"/>
  <c r="F5" i="41" s="1"/>
  <c r="D2" i="40"/>
  <c r="C8" i="40"/>
  <c r="D8" i="40"/>
  <c r="F5" i="40"/>
  <c r="F6" i="40" s="1"/>
  <c r="F4" i="40"/>
  <c r="F3" i="40"/>
  <c r="D2" i="39"/>
  <c r="D8" i="39"/>
  <c r="F5" i="39"/>
  <c r="F4" i="39"/>
  <c r="F3" i="39"/>
  <c r="C8" i="39"/>
  <c r="D12" i="38"/>
  <c r="E12" i="38"/>
  <c r="E2" i="38"/>
  <c r="G7" i="38"/>
  <c r="G6" i="38"/>
  <c r="G5" i="38"/>
  <c r="G4" i="38"/>
  <c r="G3" i="38"/>
  <c r="E8" i="37"/>
  <c r="D8" i="37"/>
  <c r="D8" i="36"/>
  <c r="D8" i="35"/>
  <c r="E4" i="35"/>
  <c r="E3" i="35"/>
  <c r="E6" i="35" s="1"/>
  <c r="C7" i="35"/>
  <c r="E5" i="35"/>
  <c r="C8" i="35"/>
  <c r="E2" i="37"/>
  <c r="G5" i="37"/>
  <c r="G4" i="37"/>
  <c r="G3" i="37"/>
  <c r="G6" i="37" s="1"/>
  <c r="D2" i="36"/>
  <c r="F4" i="36"/>
  <c r="F3" i="36"/>
  <c r="D2" i="35"/>
  <c r="F5" i="35"/>
  <c r="F4" i="35"/>
  <c r="F6" i="35" s="1"/>
  <c r="F3" i="35"/>
  <c r="J64" i="22"/>
  <c r="J54" i="22"/>
  <c r="J44" i="22"/>
  <c r="J34" i="22"/>
  <c r="J24" i="22"/>
  <c r="D55" i="22"/>
  <c r="D56" i="22"/>
  <c r="D57" i="22"/>
  <c r="D58" i="22"/>
  <c r="D59" i="22"/>
  <c r="D60" i="22"/>
  <c r="D61" i="22"/>
  <c r="D62" i="22"/>
  <c r="D63" i="22"/>
  <c r="D45" i="22"/>
  <c r="D46" i="22"/>
  <c r="D47" i="22"/>
  <c r="D48" i="22"/>
  <c r="D49" i="22"/>
  <c r="D50" i="22"/>
  <c r="D51" i="22"/>
  <c r="D52" i="22"/>
  <c r="D53" i="22"/>
  <c r="D35" i="22"/>
  <c r="D36" i="22"/>
  <c r="D37" i="22"/>
  <c r="D38" i="22"/>
  <c r="D39" i="22"/>
  <c r="D40" i="22"/>
  <c r="D41" i="22"/>
  <c r="D42" i="22"/>
  <c r="D43" i="22"/>
  <c r="D26" i="22"/>
  <c r="D27" i="22"/>
  <c r="D28" i="22"/>
  <c r="D29" i="22"/>
  <c r="D30" i="22"/>
  <c r="D31" i="22"/>
  <c r="D32" i="22"/>
  <c r="D33" i="22"/>
  <c r="D25" i="22"/>
  <c r="O45" i="22"/>
  <c r="O46" i="22"/>
  <c r="O47" i="22"/>
  <c r="O48" i="22"/>
  <c r="O49" i="22"/>
  <c r="O50" i="22"/>
  <c r="O51" i="22"/>
  <c r="O52" i="22"/>
  <c r="O53" i="22"/>
  <c r="O55" i="22"/>
  <c r="O56" i="22"/>
  <c r="O57" i="22"/>
  <c r="O58" i="22"/>
  <c r="O59" i="22"/>
  <c r="O60" i="22"/>
  <c r="O61" i="22"/>
  <c r="O62" i="22"/>
  <c r="O63" i="22"/>
  <c r="N45" i="22"/>
  <c r="N46" i="22"/>
  <c r="N47" i="22"/>
  <c r="N48" i="22"/>
  <c r="N49" i="22"/>
  <c r="N50" i="22"/>
  <c r="N51" i="22"/>
  <c r="N52" i="22"/>
  <c r="N53" i="22"/>
  <c r="N55" i="22"/>
  <c r="N56" i="22"/>
  <c r="N57" i="22"/>
  <c r="N58" i="22"/>
  <c r="N59" i="22"/>
  <c r="N60" i="22"/>
  <c r="N61" i="22"/>
  <c r="N62" i="22"/>
  <c r="N63" i="22"/>
  <c r="O35" i="22"/>
  <c r="O36" i="22"/>
  <c r="O37" i="22"/>
  <c r="O38" i="22"/>
  <c r="O39" i="22"/>
  <c r="O40" i="22"/>
  <c r="O41" i="22"/>
  <c r="O42" i="22"/>
  <c r="O43" i="22"/>
  <c r="N35" i="22"/>
  <c r="N36" i="22"/>
  <c r="N37" i="22"/>
  <c r="N38" i="22"/>
  <c r="N39" i="22"/>
  <c r="N40" i="22"/>
  <c r="N41" i="22"/>
  <c r="N42" i="22"/>
  <c r="N43" i="22"/>
  <c r="O26" i="22"/>
  <c r="O27" i="22"/>
  <c r="O28" i="22"/>
  <c r="O29" i="22"/>
  <c r="O30" i="22"/>
  <c r="O31" i="22"/>
  <c r="O32" i="22"/>
  <c r="O33" i="22"/>
  <c r="O25" i="22"/>
  <c r="N26" i="22"/>
  <c r="N27" i="22"/>
  <c r="N28" i="22"/>
  <c r="N29" i="22"/>
  <c r="N30" i="22"/>
  <c r="N31" i="22"/>
  <c r="N32" i="22"/>
  <c r="N33" i="22"/>
  <c r="N25" i="22"/>
  <c r="G77" i="22"/>
  <c r="G76" i="22"/>
  <c r="D2" i="56"/>
  <c r="E2" i="56"/>
  <c r="G4" i="56"/>
  <c r="J65" i="22"/>
  <c r="J66" i="22"/>
  <c r="J67" i="22"/>
  <c r="J68" i="22"/>
  <c r="J69" i="22"/>
  <c r="J70" i="22"/>
  <c r="J71" i="22"/>
  <c r="J72" i="22"/>
  <c r="J73" i="22"/>
  <c r="J74" i="22"/>
  <c r="J75" i="22"/>
  <c r="J76" i="22"/>
  <c r="J77" i="22"/>
  <c r="E4" i="27"/>
  <c r="F4" i="27"/>
  <c r="E3" i="27"/>
  <c r="F3" i="27"/>
  <c r="C7" i="27" s="1"/>
  <c r="K22" i="53"/>
  <c r="J28" i="53"/>
  <c r="I24" i="53"/>
  <c r="N3" i="53"/>
  <c r="K6" i="53"/>
  <c r="J17" i="53"/>
  <c r="D26" i="53"/>
  <c r="F26" i="53" s="1"/>
  <c r="F13" i="53"/>
  <c r="E13" i="53"/>
  <c r="D3" i="53"/>
  <c r="B28" i="53"/>
  <c r="E22" i="53"/>
  <c r="C3" i="53"/>
  <c r="A24" i="53"/>
  <c r="L22" i="51"/>
  <c r="M5" i="51" s="1"/>
  <c r="G48" i="46"/>
  <c r="G52" i="46"/>
  <c r="G56" i="46"/>
  <c r="J25" i="51"/>
  <c r="M11" i="51"/>
  <c r="M7" i="51"/>
  <c r="L5" i="51"/>
  <c r="J2" i="51"/>
  <c r="I21" i="51"/>
  <c r="A21" i="51"/>
  <c r="B25" i="51"/>
  <c r="B3" i="51"/>
  <c r="G26" i="46"/>
  <c r="G27" i="46"/>
  <c r="G28" i="46"/>
  <c r="G29" i="46"/>
  <c r="G30" i="46"/>
  <c r="G31" i="46"/>
  <c r="G32" i="46"/>
  <c r="G33" i="46"/>
  <c r="F26" i="46"/>
  <c r="F27" i="46"/>
  <c r="F28" i="46"/>
  <c r="F29" i="46"/>
  <c r="F30" i="46"/>
  <c r="F31" i="46"/>
  <c r="F32" i="46"/>
  <c r="F33" i="46"/>
  <c r="E26" i="46"/>
  <c r="E27" i="46"/>
  <c r="E28" i="46"/>
  <c r="E29" i="46"/>
  <c r="E30" i="46"/>
  <c r="E31" i="46"/>
  <c r="E32" i="46"/>
  <c r="E33" i="46"/>
  <c r="G25" i="46"/>
  <c r="F25" i="46"/>
  <c r="E25" i="46"/>
  <c r="E35" i="46"/>
  <c r="G35" i="46"/>
  <c r="E36" i="46"/>
  <c r="G36" i="46"/>
  <c r="E37" i="46"/>
  <c r="G37" i="46"/>
  <c r="E38" i="46"/>
  <c r="G38" i="46"/>
  <c r="E39" i="46"/>
  <c r="G39" i="46"/>
  <c r="E40" i="46"/>
  <c r="G40" i="46"/>
  <c r="E41" i="46"/>
  <c r="G41" i="46"/>
  <c r="E42" i="46"/>
  <c r="G42" i="46"/>
  <c r="E43" i="46"/>
  <c r="G43" i="46"/>
  <c r="E44" i="46"/>
  <c r="G44" i="46"/>
  <c r="E45" i="46"/>
  <c r="G45" i="46"/>
  <c r="E46" i="46"/>
  <c r="G46" i="46"/>
  <c r="E34" i="46"/>
  <c r="G34" i="46"/>
  <c r="E19" i="50"/>
  <c r="B21" i="50" s="1"/>
  <c r="C17" i="50"/>
  <c r="F17" i="50"/>
  <c r="E14" i="50"/>
  <c r="E2" i="50"/>
  <c r="B7" i="50"/>
  <c r="B9" i="50"/>
  <c r="B11" i="50"/>
  <c r="E19" i="49"/>
  <c r="B21" i="49"/>
  <c r="U37" i="48"/>
  <c r="F17" i="49"/>
  <c r="C17" i="49"/>
  <c r="E2" i="49"/>
  <c r="B7" i="49"/>
  <c r="B9" i="49"/>
  <c r="B11" i="49"/>
  <c r="E14" i="49"/>
  <c r="U29" i="48"/>
  <c r="B64" i="48"/>
  <c r="B16" i="50" s="1"/>
  <c r="B65" i="48"/>
  <c r="B66" i="48"/>
  <c r="B67" i="48"/>
  <c r="B68" i="48"/>
  <c r="B69" i="48"/>
  <c r="B70" i="48"/>
  <c r="B71" i="48"/>
  <c r="B72" i="48"/>
  <c r="B73" i="48"/>
  <c r="B74" i="48"/>
  <c r="B75" i="48"/>
  <c r="B76" i="48"/>
  <c r="B63" i="48"/>
  <c r="D64" i="48"/>
  <c r="D65" i="48"/>
  <c r="D66" i="48"/>
  <c r="D67" i="48"/>
  <c r="D68" i="48"/>
  <c r="D69" i="48"/>
  <c r="D70" i="48"/>
  <c r="D71" i="48"/>
  <c r="D72" i="48"/>
  <c r="D73" i="48"/>
  <c r="D74" i="48"/>
  <c r="D76" i="48"/>
  <c r="D63" i="48"/>
  <c r="D52" i="48"/>
  <c r="D53" i="48"/>
  <c r="D54" i="48"/>
  <c r="D55" i="48"/>
  <c r="D56" i="48"/>
  <c r="D57" i="48"/>
  <c r="D58" i="48"/>
  <c r="D59" i="48"/>
  <c r="D60" i="48"/>
  <c r="D61" i="48"/>
  <c r="D51" i="48"/>
  <c r="B52" i="48"/>
  <c r="B16" i="49"/>
  <c r="B53" i="48"/>
  <c r="B54" i="48"/>
  <c r="B55" i="48"/>
  <c r="B56" i="48"/>
  <c r="B57" i="48"/>
  <c r="B58" i="48"/>
  <c r="B59" i="48"/>
  <c r="B60" i="48"/>
  <c r="B61" i="48"/>
  <c r="B51" i="48"/>
  <c r="D41" i="48"/>
  <c r="D42" i="48"/>
  <c r="D43" i="48"/>
  <c r="D44" i="48"/>
  <c r="D45" i="48"/>
  <c r="D46" i="48"/>
  <c r="D47" i="48"/>
  <c r="D48" i="48"/>
  <c r="D49" i="48"/>
  <c r="D40" i="48"/>
  <c r="B41" i="48"/>
  <c r="B42" i="48"/>
  <c r="B43" i="48"/>
  <c r="B44" i="48"/>
  <c r="B45" i="48"/>
  <c r="B46" i="48"/>
  <c r="B47" i="48"/>
  <c r="B48" i="48"/>
  <c r="B49" i="48"/>
  <c r="B40" i="48"/>
  <c r="B6" i="48"/>
  <c r="B7" i="48"/>
  <c r="B8" i="48"/>
  <c r="B9" i="48"/>
  <c r="B10" i="48"/>
  <c r="B11" i="48"/>
  <c r="B12" i="48"/>
  <c r="B13" i="48"/>
  <c r="B14" i="48"/>
  <c r="B15" i="48"/>
  <c r="B16" i="48"/>
  <c r="B17" i="48"/>
  <c r="B18" i="48"/>
  <c r="B19" i="48"/>
  <c r="B20" i="48"/>
  <c r="B21" i="48"/>
  <c r="B5" i="48"/>
  <c r="D6" i="48"/>
  <c r="D7" i="48"/>
  <c r="D8" i="48"/>
  <c r="D9" i="48"/>
  <c r="D10" i="48"/>
  <c r="D11" i="48"/>
  <c r="D12" i="48"/>
  <c r="D13" i="48"/>
  <c r="D14" i="48"/>
  <c r="D15" i="48"/>
  <c r="D16" i="48"/>
  <c r="D17" i="48"/>
  <c r="D18" i="48"/>
  <c r="D19" i="48"/>
  <c r="D20" i="48"/>
  <c r="D21" i="48"/>
  <c r="D5" i="48"/>
  <c r="T64" i="48"/>
  <c r="T65" i="48"/>
  <c r="T66" i="48"/>
  <c r="T67" i="48"/>
  <c r="T68" i="48"/>
  <c r="T69" i="48"/>
  <c r="T70" i="48"/>
  <c r="T71" i="48"/>
  <c r="T72" i="48"/>
  <c r="T73" i="48"/>
  <c r="T74" i="48"/>
  <c r="T75" i="48"/>
  <c r="T76" i="48"/>
  <c r="T63" i="48"/>
  <c r="U64" i="48"/>
  <c r="H9" i="50"/>
  <c r="H11" i="50" s="1"/>
  <c r="W64" i="48"/>
  <c r="Z64" i="48"/>
  <c r="U65" i="48"/>
  <c r="X65" i="48"/>
  <c r="W65" i="48"/>
  <c r="Z65" i="48"/>
  <c r="U66" i="48"/>
  <c r="X66" i="48"/>
  <c r="W66" i="48"/>
  <c r="Z66" i="48"/>
  <c r="U67" i="48"/>
  <c r="X67" i="48"/>
  <c r="W67" i="48"/>
  <c r="Z67" i="48"/>
  <c r="U68" i="48"/>
  <c r="X68" i="48"/>
  <c r="W68" i="48"/>
  <c r="Z68" i="48"/>
  <c r="U69" i="48"/>
  <c r="X69" i="48"/>
  <c r="W69" i="48"/>
  <c r="Z69" i="48"/>
  <c r="U70" i="48"/>
  <c r="X70" i="48"/>
  <c r="W70" i="48"/>
  <c r="Z70" i="48"/>
  <c r="U71" i="48"/>
  <c r="X71" i="48"/>
  <c r="W71" i="48"/>
  <c r="Z71" i="48"/>
  <c r="U72" i="48"/>
  <c r="X72" i="48"/>
  <c r="W72" i="48"/>
  <c r="Z72" i="48"/>
  <c r="U73" i="48"/>
  <c r="X73" i="48"/>
  <c r="W73" i="48"/>
  <c r="Z73" i="48"/>
  <c r="U74" i="48"/>
  <c r="X74" i="48"/>
  <c r="W74" i="48"/>
  <c r="Z74" i="48"/>
  <c r="U75" i="48"/>
  <c r="X75" i="48"/>
  <c r="W75" i="48"/>
  <c r="Z75" i="48"/>
  <c r="U76" i="48"/>
  <c r="X76" i="48"/>
  <c r="W76" i="48"/>
  <c r="Z76" i="48"/>
  <c r="U63" i="48"/>
  <c r="X63" i="48"/>
  <c r="W63" i="48"/>
  <c r="Z63" i="48"/>
  <c r="V64" i="48"/>
  <c r="Y64" i="48"/>
  <c r="V65" i="48"/>
  <c r="Y65" i="48"/>
  <c r="V66" i="48"/>
  <c r="Y66" i="48"/>
  <c r="V67" i="48"/>
  <c r="Y67" i="48"/>
  <c r="V68" i="48"/>
  <c r="Y68" i="48"/>
  <c r="V69" i="48"/>
  <c r="Y69" i="48"/>
  <c r="V70" i="48"/>
  <c r="Y70" i="48"/>
  <c r="V71" i="48"/>
  <c r="Y71" i="48"/>
  <c r="V72" i="48"/>
  <c r="Y72" i="48"/>
  <c r="V73" i="48"/>
  <c r="Y73" i="48"/>
  <c r="V74" i="48"/>
  <c r="Y74" i="48"/>
  <c r="V75" i="48"/>
  <c r="Y75" i="48"/>
  <c r="V76" i="48"/>
  <c r="Y76" i="48"/>
  <c r="V63" i="48"/>
  <c r="Y63" i="48"/>
  <c r="U52" i="48"/>
  <c r="X52" i="48"/>
  <c r="W52" i="48"/>
  <c r="Z52" i="48"/>
  <c r="U53" i="48"/>
  <c r="X53" i="48"/>
  <c r="W53" i="48"/>
  <c r="Z53" i="48"/>
  <c r="U54" i="48"/>
  <c r="X54" i="48"/>
  <c r="W54" i="48"/>
  <c r="Z54" i="48"/>
  <c r="U55" i="48"/>
  <c r="X55" i="48"/>
  <c r="W55" i="48"/>
  <c r="Z55" i="48"/>
  <c r="U56" i="48"/>
  <c r="X56" i="48"/>
  <c r="W56" i="48"/>
  <c r="Z56" i="48"/>
  <c r="U57" i="48"/>
  <c r="X57" i="48"/>
  <c r="W57" i="48"/>
  <c r="Z57" i="48"/>
  <c r="U58" i="48"/>
  <c r="X58" i="48"/>
  <c r="W58" i="48"/>
  <c r="Z58" i="48"/>
  <c r="U59" i="48"/>
  <c r="X59" i="48"/>
  <c r="W59" i="48"/>
  <c r="Z59" i="48"/>
  <c r="U60" i="48"/>
  <c r="X60" i="48"/>
  <c r="W60" i="48"/>
  <c r="Z60" i="48"/>
  <c r="U61" i="48"/>
  <c r="X61" i="48"/>
  <c r="W61" i="48"/>
  <c r="Z61" i="48"/>
  <c r="U51" i="48"/>
  <c r="X51" i="48"/>
  <c r="W51" i="48"/>
  <c r="Z51" i="48"/>
  <c r="V53" i="48"/>
  <c r="Y53" i="48"/>
  <c r="V54" i="48"/>
  <c r="Y54" i="48"/>
  <c r="V55" i="48"/>
  <c r="Y55" i="48"/>
  <c r="V57" i="48"/>
  <c r="Y57" i="48"/>
  <c r="V58" i="48"/>
  <c r="Y58" i="48"/>
  <c r="V59" i="48"/>
  <c r="Y59" i="48"/>
  <c r="V61" i="48"/>
  <c r="Y61" i="48"/>
  <c r="V51" i="48"/>
  <c r="Y51" i="48"/>
  <c r="U49" i="48"/>
  <c r="X49" i="48"/>
  <c r="U41" i="48"/>
  <c r="W41" i="48"/>
  <c r="Z41" i="48" s="1"/>
  <c r="U42" i="48"/>
  <c r="U43" i="48"/>
  <c r="U44" i="48"/>
  <c r="U45" i="48"/>
  <c r="U46" i="48"/>
  <c r="X46" i="48"/>
  <c r="U47" i="48"/>
  <c r="X47" i="48"/>
  <c r="U48" i="48"/>
  <c r="X48" i="48"/>
  <c r="W49" i="48"/>
  <c r="Z49" i="48"/>
  <c r="U40" i="48"/>
  <c r="X40" i="48"/>
  <c r="W40" i="48"/>
  <c r="Z40" i="48"/>
  <c r="V46" i="48"/>
  <c r="Y46" i="48"/>
  <c r="V48" i="48"/>
  <c r="Y48" i="48"/>
  <c r="U24" i="48"/>
  <c r="U25" i="48"/>
  <c r="U26" i="48"/>
  <c r="U27" i="48"/>
  <c r="U28" i="48"/>
  <c r="U30" i="48"/>
  <c r="U31" i="48"/>
  <c r="U32" i="48"/>
  <c r="U33" i="48"/>
  <c r="U34" i="48"/>
  <c r="U35" i="48"/>
  <c r="U36" i="48"/>
  <c r="U38" i="48"/>
  <c r="U23" i="48"/>
  <c r="I21" i="77" s="1"/>
  <c r="I22" i="77" s="1"/>
  <c r="U6" i="48"/>
  <c r="U7" i="48"/>
  <c r="X7" i="48" s="1"/>
  <c r="V7" i="48"/>
  <c r="U8" i="48"/>
  <c r="V8" i="48" s="1"/>
  <c r="W8" i="48" s="1"/>
  <c r="U9" i="48"/>
  <c r="X9" i="48" s="1"/>
  <c r="V9" i="48"/>
  <c r="W9" i="48" s="1"/>
  <c r="Z9" i="48"/>
  <c r="U10" i="48"/>
  <c r="X10" i="48"/>
  <c r="U11" i="48"/>
  <c r="V11" i="48" s="1"/>
  <c r="W11" i="48" s="1"/>
  <c r="Z11" i="48" s="1"/>
  <c r="X11" i="48"/>
  <c r="U12" i="48"/>
  <c r="V12" i="48"/>
  <c r="W12" i="48" s="1"/>
  <c r="U13" i="48"/>
  <c r="X13" i="48"/>
  <c r="V13" i="48"/>
  <c r="W13" i="48"/>
  <c r="Z13" i="48" s="1"/>
  <c r="U14" i="48"/>
  <c r="U15" i="48"/>
  <c r="X15" i="48" s="1"/>
  <c r="U16" i="48"/>
  <c r="V16" i="48" s="1"/>
  <c r="Y16" i="48" s="1"/>
  <c r="U17" i="48"/>
  <c r="U18" i="48"/>
  <c r="X18" i="48"/>
  <c r="U19" i="48"/>
  <c r="X19" i="48"/>
  <c r="V19" i="48"/>
  <c r="Y19" i="48"/>
  <c r="U20" i="48"/>
  <c r="V20" i="48"/>
  <c r="Y20" i="48" s="1"/>
  <c r="U21" i="48"/>
  <c r="V21" i="48" s="1"/>
  <c r="Y21" i="48" s="1"/>
  <c r="X21" i="48"/>
  <c r="U5" i="48"/>
  <c r="D76" i="22"/>
  <c r="D77" i="22"/>
  <c r="F35" i="46"/>
  <c r="F36" i="46"/>
  <c r="F37" i="46"/>
  <c r="F38" i="46"/>
  <c r="F39" i="46"/>
  <c r="F40" i="46"/>
  <c r="F41" i="46"/>
  <c r="F42" i="46"/>
  <c r="F43" i="46"/>
  <c r="F44" i="46"/>
  <c r="F45" i="46"/>
  <c r="F46" i="46"/>
  <c r="F47" i="46"/>
  <c r="F48" i="46"/>
  <c r="F49" i="46"/>
  <c r="F50" i="46"/>
  <c r="F51" i="46"/>
  <c r="F52" i="46"/>
  <c r="F53" i="46"/>
  <c r="F54" i="46"/>
  <c r="F55" i="46"/>
  <c r="F56" i="46"/>
  <c r="F34" i="46"/>
  <c r="E47" i="46"/>
  <c r="G47" i="46"/>
  <c r="E48" i="46"/>
  <c r="E49" i="46"/>
  <c r="G49" i="46" s="1"/>
  <c r="E50" i="46"/>
  <c r="G50" i="46" s="1"/>
  <c r="E51" i="46"/>
  <c r="G51" i="46"/>
  <c r="E52" i="46"/>
  <c r="E53" i="46"/>
  <c r="G53" i="46" s="1"/>
  <c r="E54" i="46"/>
  <c r="G54" i="46" s="1"/>
  <c r="E55" i="46"/>
  <c r="G55" i="46"/>
  <c r="E56" i="46"/>
  <c r="F13" i="46"/>
  <c r="E13" i="46"/>
  <c r="F12" i="46"/>
  <c r="E12" i="46"/>
  <c r="F11" i="46"/>
  <c r="E11" i="46"/>
  <c r="F10" i="46"/>
  <c r="E10" i="46"/>
  <c r="F9" i="46"/>
  <c r="E9" i="46"/>
  <c r="F8" i="46"/>
  <c r="E8" i="46"/>
  <c r="F7" i="46"/>
  <c r="E7" i="46"/>
  <c r="F6" i="46"/>
  <c r="E6" i="46"/>
  <c r="F5" i="46"/>
  <c r="F10" i="51" s="1"/>
  <c r="E5" i="46"/>
  <c r="E3" i="51" s="1"/>
  <c r="F4" i="46"/>
  <c r="E4" i="46"/>
  <c r="F3" i="46"/>
  <c r="E3" i="46"/>
  <c r="F2" i="46"/>
  <c r="E2" i="46"/>
  <c r="D65" i="22"/>
  <c r="D66" i="22"/>
  <c r="D67" i="22"/>
  <c r="D68" i="22"/>
  <c r="D69" i="22"/>
  <c r="D70" i="22"/>
  <c r="D71" i="22"/>
  <c r="D72" i="22"/>
  <c r="D73" i="22"/>
  <c r="D74" i="22"/>
  <c r="D75" i="22"/>
  <c r="C2" i="43"/>
  <c r="D17" i="43"/>
  <c r="D18" i="43"/>
  <c r="E3" i="42"/>
  <c r="E6" i="42"/>
  <c r="C7" i="42" s="1"/>
  <c r="E4" i="42"/>
  <c r="E5" i="42"/>
  <c r="C2" i="42"/>
  <c r="D17" i="42"/>
  <c r="D18" i="42"/>
  <c r="E3" i="41"/>
  <c r="E4" i="41"/>
  <c r="E5" i="41" s="1"/>
  <c r="C7" i="41" s="1"/>
  <c r="C2" i="41"/>
  <c r="D17" i="41"/>
  <c r="D18" i="41"/>
  <c r="E3" i="40"/>
  <c r="E4" i="40"/>
  <c r="E6" i="40"/>
  <c r="C7" i="40" s="1"/>
  <c r="E17" i="40"/>
  <c r="E5" i="40"/>
  <c r="C2" i="40"/>
  <c r="D17" i="40"/>
  <c r="D18" i="40"/>
  <c r="F6" i="39"/>
  <c r="E3" i="39"/>
  <c r="E4" i="39"/>
  <c r="E5" i="39"/>
  <c r="C2" i="39"/>
  <c r="D17" i="39"/>
  <c r="D18" i="39"/>
  <c r="F3" i="38"/>
  <c r="F4" i="38"/>
  <c r="F5" i="38"/>
  <c r="F6" i="38"/>
  <c r="F7" i="38"/>
  <c r="D2" i="38"/>
  <c r="E17" i="38"/>
  <c r="E18" i="38"/>
  <c r="F3" i="37"/>
  <c r="F4" i="37"/>
  <c r="F6" i="37" s="1"/>
  <c r="D7" i="37" s="1"/>
  <c r="F5" i="37"/>
  <c r="D2" i="37"/>
  <c r="E17" i="37"/>
  <c r="E18" i="37"/>
  <c r="C2" i="36"/>
  <c r="D17" i="36"/>
  <c r="D18" i="36"/>
  <c r="C2" i="35"/>
  <c r="D17" i="35"/>
  <c r="D18" i="35"/>
  <c r="F2" i="2"/>
  <c r="E47" i="2"/>
  <c r="E4" i="2"/>
  <c r="C20" i="39"/>
  <c r="E5" i="2"/>
  <c r="C20" i="42"/>
  <c r="E6" i="2"/>
  <c r="E7" i="2"/>
  <c r="E8" i="2"/>
  <c r="E9" i="2"/>
  <c r="E10" i="2"/>
  <c r="C20" i="40" s="1"/>
  <c r="E11" i="2"/>
  <c r="D20" i="38" s="1"/>
  <c r="E12" i="2"/>
  <c r="E13" i="2"/>
  <c r="E14" i="2"/>
  <c r="E15" i="2"/>
  <c r="E16" i="2"/>
  <c r="E17" i="2"/>
  <c r="E18" i="2"/>
  <c r="E19" i="2"/>
  <c r="E20" i="2"/>
  <c r="E21" i="2"/>
  <c r="C20" i="43" s="1"/>
  <c r="E22" i="2"/>
  <c r="E23" i="2"/>
  <c r="E24" i="2"/>
  <c r="E25" i="2"/>
  <c r="E26" i="2"/>
  <c r="E27" i="2"/>
  <c r="E28" i="2"/>
  <c r="E40" i="2"/>
  <c r="E42" i="2"/>
  <c r="E43" i="2"/>
  <c r="G65" i="22"/>
  <c r="E28" i="18" s="1"/>
  <c r="G66" i="22"/>
  <c r="G67" i="22"/>
  <c r="G68" i="22"/>
  <c r="G70" i="22"/>
  <c r="G72" i="22"/>
  <c r="G73" i="22"/>
  <c r="G74" i="22"/>
  <c r="G75" i="22"/>
  <c r="I10" i="12"/>
  <c r="I12" i="12" s="1"/>
  <c r="I13" i="12" s="1"/>
  <c r="I11" i="12"/>
  <c r="H10" i="12"/>
  <c r="H12" i="12"/>
  <c r="H11" i="12"/>
  <c r="C6" i="27"/>
  <c r="C11" i="27" s="1"/>
  <c r="G6" i="19"/>
  <c r="C8" i="19" s="1"/>
  <c r="C11" i="19" s="1"/>
  <c r="C13" i="19" s="1"/>
  <c r="G7" i="19"/>
  <c r="H13" i="82"/>
  <c r="E14" i="24" s="1"/>
  <c r="D15" i="82"/>
  <c r="M21" i="82" s="1"/>
  <c r="W20" i="48"/>
  <c r="Z20" i="48" s="1"/>
  <c r="Y12" i="48"/>
  <c r="Z12" i="48"/>
  <c r="Z8" i="48"/>
  <c r="H13" i="20"/>
  <c r="H15" i="82"/>
  <c r="E16" i="24" s="1"/>
  <c r="H10" i="50"/>
  <c r="W19" i="48"/>
  <c r="Z19" i="48" s="1"/>
  <c r="V18" i="48"/>
  <c r="V10" i="48"/>
  <c r="W10" i="48" s="1"/>
  <c r="Z10" i="48" s="1"/>
  <c r="V40" i="48"/>
  <c r="Y40" i="48" s="1"/>
  <c r="V41" i="48"/>
  <c r="Y41" i="48" s="1"/>
  <c r="W48" i="48"/>
  <c r="Z48" i="48" s="1"/>
  <c r="W46" i="48"/>
  <c r="Z46" i="48" s="1"/>
  <c r="W42" i="48"/>
  <c r="Z42" i="48" s="1"/>
  <c r="V49" i="48"/>
  <c r="Y49" i="48" s="1"/>
  <c r="V60" i="48"/>
  <c r="Y60" i="48" s="1"/>
  <c r="V56" i="48"/>
  <c r="Y56" i="48" s="1"/>
  <c r="V52" i="48"/>
  <c r="Y52" i="48" s="1"/>
  <c r="E27" i="18"/>
  <c r="V94" i="48"/>
  <c r="Y94" i="48"/>
  <c r="V102" i="48"/>
  <c r="Y102" i="48"/>
  <c r="E13" i="21"/>
  <c r="E44" i="2"/>
  <c r="E48" i="2"/>
  <c r="X20" i="48"/>
  <c r="X16" i="48"/>
  <c r="X12" i="48"/>
  <c r="X8" i="48"/>
  <c r="Y13" i="48"/>
  <c r="Y9" i="48"/>
  <c r="X41" i="48"/>
  <c r="X102" i="48"/>
  <c r="X98" i="48"/>
  <c r="X94" i="48"/>
  <c r="E49" i="2"/>
  <c r="X64" i="48"/>
  <c r="C20" i="35"/>
  <c r="E17" i="35" s="1"/>
  <c r="V47" i="48"/>
  <c r="Y47" i="48"/>
  <c r="W47" i="48"/>
  <c r="Z47" i="48"/>
  <c r="E41" i="2"/>
  <c r="E46" i="2"/>
  <c r="B14" i="49"/>
  <c r="K6" i="49" s="1"/>
  <c r="V95" i="48"/>
  <c r="Y95" i="48"/>
  <c r="V103" i="48"/>
  <c r="Y103" i="48"/>
  <c r="C6" i="21"/>
  <c r="E45" i="2"/>
  <c r="F16" i="16"/>
  <c r="F12" i="16" s="1"/>
  <c r="F13" i="16" s="1"/>
  <c r="H15" i="12"/>
  <c r="F19" i="13"/>
  <c r="B9" i="13" s="1"/>
  <c r="B10" i="13" s="1"/>
  <c r="B28" i="50"/>
  <c r="I22" i="56"/>
  <c r="B18" i="82"/>
  <c r="A21" i="68"/>
  <c r="C10" i="42"/>
  <c r="A13" i="38"/>
  <c r="E23" i="49"/>
  <c r="B27" i="65"/>
  <c r="C24" i="21"/>
  <c r="B8" i="72"/>
  <c r="A19" i="69"/>
  <c r="C11" i="42"/>
  <c r="A14" i="38"/>
  <c r="E24" i="49"/>
  <c r="B28" i="65"/>
  <c r="C25" i="20"/>
  <c r="B9" i="72"/>
  <c r="A21" i="70"/>
  <c r="C2" i="13"/>
  <c r="C10" i="40"/>
  <c r="B27" i="50"/>
  <c r="I3" i="53"/>
  <c r="A30" i="53"/>
  <c r="B31" i="18"/>
  <c r="C28" i="75"/>
  <c r="D28" i="45"/>
  <c r="F13" i="27"/>
  <c r="B10" i="74"/>
  <c r="A27" i="16"/>
  <c r="A20" i="68"/>
  <c r="C32" i="63"/>
  <c r="C9" i="42"/>
  <c r="C12" i="41"/>
  <c r="B13" i="37"/>
  <c r="C12" i="36"/>
  <c r="A19" i="24"/>
  <c r="H14" i="82"/>
  <c r="E15" i="24"/>
  <c r="L13" i="49"/>
  <c r="B15" i="49"/>
  <c r="K7" i="49"/>
  <c r="J3" i="49"/>
  <c r="L12" i="49"/>
  <c r="F18" i="24"/>
  <c r="C18" i="24"/>
  <c r="J11" i="72"/>
  <c r="W45" i="48" l="1"/>
  <c r="Z45" i="48" s="1"/>
  <c r="X45" i="48"/>
  <c r="V45" i="48"/>
  <c r="Y45" i="48" s="1"/>
  <c r="Y18" i="48"/>
  <c r="W18" i="48"/>
  <c r="Z18" i="48" s="1"/>
  <c r="H13" i="12"/>
  <c r="E19" i="12" s="1"/>
  <c r="E20" i="12" s="1"/>
  <c r="X17" i="48"/>
  <c r="V17" i="48"/>
  <c r="C17" i="40"/>
  <c r="C18" i="40"/>
  <c r="I4" i="53"/>
  <c r="B32" i="18"/>
  <c r="B29" i="77"/>
  <c r="B28" i="64"/>
  <c r="C27" i="20"/>
  <c r="F14" i="27"/>
  <c r="A20" i="71"/>
  <c r="A31" i="53"/>
  <c r="B21" i="62"/>
  <c r="A28" i="16"/>
  <c r="H24" i="12"/>
  <c r="C12" i="40"/>
  <c r="C12" i="35"/>
  <c r="A32" i="53"/>
  <c r="I23" i="56"/>
  <c r="F15" i="27"/>
  <c r="A21" i="71"/>
  <c r="H25" i="12"/>
  <c r="C10" i="41"/>
  <c r="C13" i="35"/>
  <c r="I2" i="53"/>
  <c r="I24" i="56"/>
  <c r="D27" i="45"/>
  <c r="B9" i="74"/>
  <c r="A19" i="68"/>
  <c r="B13" i="43"/>
  <c r="B12" i="37"/>
  <c r="D24" i="51"/>
  <c r="B28" i="67"/>
  <c r="C22" i="21"/>
  <c r="B9" i="73"/>
  <c r="A21" i="69"/>
  <c r="B16" i="19"/>
  <c r="C10" i="39"/>
  <c r="E22" i="49"/>
  <c r="C23" i="21"/>
  <c r="B10" i="73"/>
  <c r="C33" i="63"/>
  <c r="B11" i="43"/>
  <c r="C13" i="36"/>
  <c r="D22" i="51"/>
  <c r="B33" i="18"/>
  <c r="B22" i="62"/>
  <c r="B8" i="74"/>
  <c r="C34" i="63"/>
  <c r="B12" i="43"/>
  <c r="B11" i="37"/>
  <c r="D23" i="51"/>
  <c r="B27" i="67"/>
  <c r="B23" i="62"/>
  <c r="B8" i="73"/>
  <c r="A20" i="69"/>
  <c r="B15" i="19"/>
  <c r="A15" i="38"/>
  <c r="B28" i="77"/>
  <c r="B29" i="65"/>
  <c r="C26" i="20"/>
  <c r="B10" i="72"/>
  <c r="A19" i="71"/>
  <c r="C3" i="13"/>
  <c r="C11" i="40"/>
  <c r="C11" i="35"/>
  <c r="B29" i="67"/>
  <c r="D29" i="45"/>
  <c r="A19" i="70"/>
  <c r="B17" i="19"/>
  <c r="C11" i="39"/>
  <c r="B30" i="77"/>
  <c r="B29" i="64"/>
  <c r="C26" i="75"/>
  <c r="B19" i="82"/>
  <c r="A20" i="70"/>
  <c r="C1" i="13"/>
  <c r="C12" i="39"/>
  <c r="B26" i="50"/>
  <c r="B30" i="64"/>
  <c r="C27" i="75"/>
  <c r="B20" i="82"/>
  <c r="A26" i="16"/>
  <c r="H26" i="12"/>
  <c r="C11" i="41"/>
  <c r="C11" i="36"/>
  <c r="Y7" i="48"/>
  <c r="W7" i="48"/>
  <c r="Z7" i="48" s="1"/>
  <c r="X14" i="48"/>
  <c r="V14" i="48"/>
  <c r="G8" i="38"/>
  <c r="V44" i="48"/>
  <c r="Y44" i="48" s="1"/>
  <c r="X44" i="48"/>
  <c r="F4" i="72"/>
  <c r="Y10" i="48"/>
  <c r="F4" i="74"/>
  <c r="W16" i="48"/>
  <c r="Z16" i="48" s="1"/>
  <c r="E17" i="43"/>
  <c r="E17" i="42"/>
  <c r="C20" i="36"/>
  <c r="E17" i="36" s="1"/>
  <c r="C18" i="36" s="1"/>
  <c r="D20" i="37"/>
  <c r="F17" i="37" s="1"/>
  <c r="F8" i="38"/>
  <c r="D11" i="38" s="1"/>
  <c r="F17" i="38" s="1"/>
  <c r="W21" i="48"/>
  <c r="Z21" i="48" s="1"/>
  <c r="Y11" i="48"/>
  <c r="X42" i="48"/>
  <c r="V42" i="48"/>
  <c r="Y42" i="48" s="1"/>
  <c r="F6" i="42"/>
  <c r="V92" i="48"/>
  <c r="Y92" i="48" s="1"/>
  <c r="V100" i="48"/>
  <c r="Y100" i="48" s="1"/>
  <c r="W90" i="48"/>
  <c r="Z90" i="48" s="1"/>
  <c r="V90" i="48"/>
  <c r="Y90" i="48" s="1"/>
  <c r="X91" i="48"/>
  <c r="V91" i="48"/>
  <c r="Y91" i="48" s="1"/>
  <c r="V98" i="48"/>
  <c r="Y98" i="48" s="1"/>
  <c r="W98" i="48"/>
  <c r="Z98" i="48" s="1"/>
  <c r="X99" i="48"/>
  <c r="V99" i="48"/>
  <c r="Y99" i="48" s="1"/>
  <c r="C5" i="73"/>
  <c r="I20" i="73"/>
  <c r="J4" i="49"/>
  <c r="W44" i="48"/>
  <c r="Z44" i="48" s="1"/>
  <c r="Y8" i="48"/>
  <c r="E6" i="39"/>
  <c r="C7" i="39" s="1"/>
  <c r="E17" i="39" s="1"/>
  <c r="C18" i="39" s="1"/>
  <c r="C20" i="41"/>
  <c r="E17" i="41" s="1"/>
  <c r="C18" i="41" s="1"/>
  <c r="V5" i="48"/>
  <c r="X5" i="48"/>
  <c r="V15" i="48"/>
  <c r="V6" i="48"/>
  <c r="X6" i="48"/>
  <c r="N21" i="45"/>
  <c r="E21" i="45" s="1"/>
  <c r="V43" i="48"/>
  <c r="Y43" i="48" s="1"/>
  <c r="W43" i="48"/>
  <c r="Z43" i="48" s="1"/>
  <c r="X43" i="48"/>
  <c r="K2" i="20"/>
  <c r="C14" i="62"/>
  <c r="C11" i="20"/>
  <c r="D18" i="20" s="1"/>
  <c r="C17" i="36"/>
  <c r="C17" i="41"/>
  <c r="C17" i="35"/>
  <c r="C18" i="35"/>
  <c r="C18" i="42"/>
  <c r="C17" i="42"/>
  <c r="C18" i="43"/>
  <c r="C17" i="43"/>
  <c r="L9" i="45"/>
  <c r="G11" i="45"/>
  <c r="J16" i="45" s="1"/>
  <c r="D7" i="45"/>
  <c r="C17" i="39"/>
  <c r="K2" i="51"/>
  <c r="N11" i="51"/>
  <c r="M22" i="51"/>
  <c r="N7" i="51"/>
  <c r="D18" i="37" l="1"/>
  <c r="D17" i="37"/>
  <c r="L13" i="20"/>
  <c r="F18" i="20"/>
  <c r="W6" i="48"/>
  <c r="Z6" i="48" s="1"/>
  <c r="Y6" i="48"/>
  <c r="Y15" i="48"/>
  <c r="W15" i="48"/>
  <c r="Z15" i="48" s="1"/>
  <c r="Y5" i="48"/>
  <c r="W5" i="48"/>
  <c r="Z5" i="48" s="1"/>
  <c r="L15" i="73"/>
  <c r="F4" i="73"/>
  <c r="D17" i="38"/>
  <c r="D18" i="38"/>
  <c r="Y14" i="48"/>
  <c r="W14" i="48"/>
  <c r="Z14" i="48" s="1"/>
  <c r="W17" i="48"/>
  <c r="Z17" i="48" s="1"/>
  <c r="Y17" i="48"/>
  <c r="O21" i="45"/>
  <c r="F21" i="45" s="1"/>
  <c r="G21" i="45" s="1"/>
  <c r="F7" i="45"/>
  <c r="O20" i="45"/>
  <c r="F20" i="45" s="1"/>
  <c r="G20" i="45" s="1"/>
  <c r="J10" i="45"/>
  <c r="D3" i="45"/>
  <c r="C15" i="45"/>
  <c r="C16" i="45" l="1"/>
  <c r="N19" i="45"/>
  <c r="E19" i="45" s="1"/>
  <c r="G19" i="45"/>
</calcChain>
</file>

<file path=xl/comments1.xml><?xml version="1.0" encoding="utf-8"?>
<comments xmlns="http://schemas.openxmlformats.org/spreadsheetml/2006/main">
  <authors>
    <author>Jerry Klinke</author>
  </authors>
  <commentList>
    <comment ref="D14" authorId="0">
      <text>
        <r>
          <rPr>
            <b/>
            <sz val="8"/>
            <color indexed="81"/>
            <rFont val="Tahoma"/>
          </rPr>
          <t>The User Manual is in Adobe PDF format.  If you cannot open this file directly by clicking on this link, then it can be found at this location:
C:\Program Files\LiftCalc3\Liftcalc3_User_Manual.pdf</t>
        </r>
        <r>
          <rPr>
            <sz val="8"/>
            <color indexed="81"/>
            <rFont val="Tahoma"/>
          </rPr>
          <t xml:space="preserve">
</t>
        </r>
      </text>
    </comment>
  </commentList>
</comments>
</file>

<file path=xl/comments10.xml><?xml version="1.0" encoding="utf-8"?>
<comments xmlns="http://schemas.openxmlformats.org/spreadsheetml/2006/main">
  <authors>
    <author>Jerry Klinke</author>
  </authors>
  <commentList>
    <comment ref="A20" authorId="0">
      <text>
        <r>
          <rPr>
            <b/>
            <sz val="8"/>
            <color indexed="81"/>
            <rFont val="Tahoma"/>
            <family val="2"/>
          </rPr>
          <t>Click to add custom material weights</t>
        </r>
        <r>
          <rPr>
            <sz val="8"/>
            <color indexed="81"/>
            <rFont val="Tahoma"/>
            <family val="2"/>
          </rPr>
          <t xml:space="preserve">
</t>
        </r>
      </text>
    </comment>
  </commentList>
</comments>
</file>

<file path=xl/comments11.xml><?xml version="1.0" encoding="utf-8"?>
<comments xmlns="http://schemas.openxmlformats.org/spreadsheetml/2006/main">
  <authors>
    <author>Jerry Klinke</author>
  </authors>
  <commentList>
    <comment ref="A20" authorId="0">
      <text>
        <r>
          <rPr>
            <b/>
            <sz val="8"/>
            <color indexed="81"/>
            <rFont val="Tahoma"/>
            <family val="2"/>
          </rPr>
          <t>Click to add custom material weights</t>
        </r>
        <r>
          <rPr>
            <sz val="8"/>
            <color indexed="81"/>
            <rFont val="Tahoma"/>
            <family val="2"/>
          </rPr>
          <t xml:space="preserve">
</t>
        </r>
      </text>
    </comment>
  </commentList>
</comments>
</file>

<file path=xl/comments12.xml><?xml version="1.0" encoding="utf-8"?>
<comments xmlns="http://schemas.openxmlformats.org/spreadsheetml/2006/main">
  <authors>
    <author>Jerry Klinke</author>
  </authors>
  <commentList>
    <comment ref="A10" authorId="0">
      <text>
        <r>
          <rPr>
            <b/>
            <sz val="8"/>
            <color indexed="81"/>
            <rFont val="Tahoma"/>
            <family val="2"/>
          </rPr>
          <t>This calculation assumes that the motor is constructed entirely out of copper, therefore the weight may be much higer than the actual weight.  Also, the base is not included in these calculations.</t>
        </r>
        <r>
          <rPr>
            <sz val="8"/>
            <color indexed="81"/>
            <rFont val="Tahoma"/>
            <family val="2"/>
          </rPr>
          <t xml:space="preserve">
</t>
        </r>
      </text>
    </comment>
  </commentList>
</comments>
</file>

<file path=xl/comments13.xml><?xml version="1.0" encoding="utf-8"?>
<comments xmlns="http://schemas.openxmlformats.org/spreadsheetml/2006/main">
  <authors>
    <author>Jerry Klinke</author>
  </authors>
  <commentList>
    <comment ref="D6" authorId="0">
      <text>
        <r>
          <rPr>
            <b/>
            <sz val="8"/>
            <color indexed="81"/>
            <rFont val="Tahoma"/>
            <family val="2"/>
          </rPr>
          <t>Use the TAB key to move to the next cell</t>
        </r>
      </text>
    </comment>
  </commentList>
</comments>
</file>

<file path=xl/comments14.xml><?xml version="1.0" encoding="utf-8"?>
<comments xmlns="http://schemas.openxmlformats.org/spreadsheetml/2006/main">
  <authors>
    <author>Jerry Klinke</author>
  </authors>
  <commentList>
    <comment ref="B23" authorId="0">
      <text>
        <r>
          <rPr>
            <sz val="8"/>
            <color indexed="81"/>
            <rFont val="Tahoma"/>
            <family val="2"/>
          </rPr>
          <t xml:space="preserve">
</t>
        </r>
        <r>
          <rPr>
            <b/>
            <sz val="8"/>
            <color indexed="81"/>
            <rFont val="Tahoma"/>
            <family val="2"/>
          </rPr>
          <t>ANGLE OF CHOKE:</t>
        </r>
        <r>
          <rPr>
            <sz val="8"/>
            <color indexed="81"/>
            <rFont val="Tahoma"/>
            <family val="2"/>
          </rPr>
          <t xml:space="preserve">
Over 120 deg. Multiply Choker rating by 1.00
90 - 120 deg. Multiply Choker rating by .87
60 - 89 deg. Multiply Choker rating by .74
30 - 59 deg. Multiply Choker rating by .62
0 - 29 deg. Multiply Choker rating by .49</t>
        </r>
      </text>
    </comment>
    <comment ref="B24" authorId="0">
      <text>
        <r>
          <rPr>
            <b/>
            <sz val="8"/>
            <color indexed="81"/>
            <rFont val="Tahoma"/>
            <family val="2"/>
          </rPr>
          <t xml:space="preserve">Choker Hitch Angle Reductions:
  </t>
        </r>
        <r>
          <rPr>
            <sz val="8"/>
            <color indexed="81"/>
            <rFont val="Tahoma"/>
            <family val="2"/>
          </rPr>
          <t xml:space="preserve">   WSTDA-WS-1, 2004, section 2.10.7
</t>
        </r>
        <r>
          <rPr>
            <b/>
            <sz val="8"/>
            <color indexed="81"/>
            <rFont val="Tahoma"/>
            <family val="2"/>
          </rPr>
          <t>Angle of Choke:</t>
        </r>
        <r>
          <rPr>
            <sz val="8"/>
            <color indexed="81"/>
            <rFont val="Tahoma"/>
            <family val="2"/>
          </rPr>
          <t xml:space="preserve">
  ASME B30.9 - 2003 </t>
        </r>
      </text>
    </comment>
    <comment ref="C24" authorId="0">
      <text>
        <r>
          <rPr>
            <b/>
            <sz val="8"/>
            <color indexed="81"/>
            <rFont val="Tahoma"/>
            <family val="2"/>
          </rPr>
          <t xml:space="preserve">Whenever the Angle of Choke is less than 135 degrees an adjustment in the sling rated capacity must be made. Extreme care should be taken to determine the angle of choke as accurately as possible. 
In controlled tests, where the angle was less than 120 degrees, the sling body always failed at the point of choke when pulled to destruction. Allowance for this phenomenon must be made anytime a choker hitch is used.
</t>
        </r>
      </text>
    </comment>
  </commentList>
</comments>
</file>

<file path=xl/comments15.xml><?xml version="1.0" encoding="utf-8"?>
<comments xmlns="http://schemas.openxmlformats.org/spreadsheetml/2006/main">
  <authors>
    <author>Jerry Klinke</author>
  </authors>
  <commentList>
    <comment ref="I25" authorId="0">
      <text>
        <r>
          <rPr>
            <b/>
            <sz val="8"/>
            <color indexed="81"/>
            <rFont val="Tahoma"/>
            <family val="2"/>
          </rPr>
          <t xml:space="preserve">Choker Hitch Angle Reductions:
  </t>
        </r>
        <r>
          <rPr>
            <sz val="8"/>
            <color indexed="81"/>
            <rFont val="Tahoma"/>
            <family val="2"/>
          </rPr>
          <t xml:space="preserve">   WSTDA-WS-1, 2004, section 2.10.7
</t>
        </r>
        <r>
          <rPr>
            <b/>
            <sz val="8"/>
            <color indexed="81"/>
            <rFont val="Tahoma"/>
            <family val="2"/>
          </rPr>
          <t>Angle of Choke:</t>
        </r>
        <r>
          <rPr>
            <sz val="8"/>
            <color indexed="81"/>
            <rFont val="Tahoma"/>
            <family val="2"/>
          </rPr>
          <t xml:space="preserve">
  ASME B30.9 - 2003 </t>
        </r>
      </text>
    </comment>
  </commentList>
</comments>
</file>

<file path=xl/comments16.xml><?xml version="1.0" encoding="utf-8"?>
<comments xmlns="http://schemas.openxmlformats.org/spreadsheetml/2006/main">
  <authors>
    <author>Jerry Klinke</author>
  </authors>
  <commentList>
    <comment ref="C13" authorId="0">
      <text>
        <r>
          <rPr>
            <b/>
            <sz val="8"/>
            <color indexed="81"/>
            <rFont val="Tahoma"/>
            <family val="2"/>
          </rPr>
          <t>Pin Diameters are based on the values listed in WSTDA  WS-1</t>
        </r>
        <r>
          <rPr>
            <sz val="8"/>
            <color indexed="81"/>
            <rFont val="Tahoma"/>
            <family val="2"/>
          </rPr>
          <t xml:space="preserve">
</t>
        </r>
      </text>
    </comment>
    <comment ref="F18" authorId="0">
      <text>
        <r>
          <rPr>
            <b/>
            <sz val="8"/>
            <color indexed="81"/>
            <rFont val="Tahoma"/>
            <family val="2"/>
          </rPr>
          <t>Rated Capacities for US values are based on typical industy ratings from sling manufacturers.
Rated Capacities for METRIC values are based on those listed in WSTDA WS-1</t>
        </r>
        <r>
          <rPr>
            <sz val="8"/>
            <color indexed="81"/>
            <rFont val="Tahoma"/>
            <family val="2"/>
          </rPr>
          <t xml:space="preserve">
</t>
        </r>
      </text>
    </comment>
    <comment ref="C23" authorId="0">
      <text>
        <r>
          <rPr>
            <b/>
            <sz val="8"/>
            <color indexed="81"/>
            <rFont val="Tahoma"/>
            <family val="2"/>
          </rPr>
          <t>Pin Diameters are based on the values listed in WSTDA  RS-1</t>
        </r>
      </text>
    </comment>
    <comment ref="F27" authorId="0">
      <text>
        <r>
          <rPr>
            <b/>
            <sz val="8"/>
            <color indexed="81"/>
            <rFont val="Tahoma"/>
            <family val="2"/>
          </rPr>
          <t xml:space="preserve">Rated Capacities for roundslings are based on the values listed in WSTDA  RS-1
</t>
        </r>
      </text>
    </comment>
  </commentList>
</comments>
</file>

<file path=xl/comments17.xml><?xml version="1.0" encoding="utf-8"?>
<comments xmlns="http://schemas.openxmlformats.org/spreadsheetml/2006/main">
  <authors>
    <author>Jerry Klinke</author>
  </authors>
  <commentList>
    <comment ref="B15" authorId="0">
      <text>
        <r>
          <rPr>
            <b/>
            <sz val="8"/>
            <color indexed="81"/>
            <rFont val="Tahoma"/>
            <family val="2"/>
          </rPr>
          <t>6x19 and 6x37 Classification Improved Plow Steel Grade Rope with Independent Wire Rope Core (IWRC) and mechanical Splice.
Values from OSHA 29 CFR 1910.184 "Slings"
MANUFACTURERS MAY HAVE HIGHER RATINGS!</t>
        </r>
      </text>
    </comment>
  </commentList>
</comments>
</file>

<file path=xl/comments18.xml><?xml version="1.0" encoding="utf-8"?>
<comments xmlns="http://schemas.openxmlformats.org/spreadsheetml/2006/main">
  <authors>
    <author>Jerry Klinke</author>
  </authors>
  <commentList>
    <comment ref="D10" authorId="0">
      <text>
        <r>
          <rPr>
            <b/>
            <sz val="8"/>
            <color indexed="81"/>
            <rFont val="Tahoma"/>
            <family val="2"/>
          </rPr>
          <t>"Slings used with fittings shall be compatible with the fittings used. The lifting capacity shall be rated at the lower of the fitting or sling. Fitting openings shall be of the proper shape and size to assure that the sling will seat properly."    SlingMax Technical Bulletin December, 2003</t>
        </r>
      </text>
    </comment>
  </commentList>
</comments>
</file>

<file path=xl/comments2.xml><?xml version="1.0" encoding="utf-8"?>
<comments xmlns="http://schemas.openxmlformats.org/spreadsheetml/2006/main">
  <authors>
    <author>Jerry Klinke</author>
    <author>Bill Nale</author>
  </authors>
  <commentList>
    <comment ref="D9" authorId="0">
      <text>
        <r>
          <rPr>
            <b/>
            <sz val="8"/>
            <color indexed="81"/>
            <rFont val="Tahoma"/>
          </rPr>
          <t xml:space="preserve">Each cell converts directly from the yellow cell in that column, without the use of intermediate cell values.  This makes it easy to copy a formula from the spreadsheet for use elsewhere.
The formula in each cell is written in a format to provide clarity of how the conversion is done. I.E. converting inches to miles is done as *12*5280 rather than *63360.
Calculations are as exact as could be found.  Exactness is noted in each case.  Excel stores and calculates with 15 significant digits of precision.
Protection is enabled preventing modification of the cells other than the yellow input cells.  This is done to prevent accidental changes.  
It can be disabled by selecting Tools - Protection.  
</t>
        </r>
        <r>
          <rPr>
            <b/>
            <sz val="10"/>
            <color indexed="10"/>
            <rFont val="Tahoma"/>
            <family val="2"/>
          </rPr>
          <t>There is no password for this page.</t>
        </r>
      </text>
    </comment>
    <comment ref="B20" authorId="1">
      <text>
        <r>
          <rPr>
            <sz val="10"/>
            <color indexed="81"/>
            <rFont val="Tahoma"/>
          </rPr>
          <t xml:space="preserve">1852m exact.  Standardized in 1959 as the average length of one minute of arc on a great circle of the earth.
</t>
        </r>
      </text>
    </comment>
    <comment ref="B26" authorId="1">
      <text>
        <r>
          <rPr>
            <sz val="10"/>
            <color indexed="81"/>
            <rFont val="Tahoma"/>
          </rPr>
          <t>1/8 mile
220 yards
660 feet
40 rods</t>
        </r>
      </text>
    </comment>
    <comment ref="B27" authorId="1">
      <text>
        <r>
          <rPr>
            <b/>
            <sz val="10"/>
            <color indexed="81"/>
            <rFont val="Tahoma"/>
          </rPr>
          <t>16.5 feet</t>
        </r>
      </text>
    </comment>
    <comment ref="B28" authorId="1">
      <text>
        <r>
          <rPr>
            <sz val="10"/>
            <color indexed="81"/>
            <rFont val="Tahoma"/>
          </rPr>
          <t>distance that light travels in one year
speed of light: exactly 299,792,458 m/s
1 yr = 365d, 5h, 48m, 46s in this definition.  Others use 365.25d</t>
        </r>
      </text>
    </comment>
    <comment ref="B38" authorId="1">
      <text>
        <r>
          <rPr>
            <sz val="10"/>
            <color indexed="81"/>
            <rFont val="Tahoma"/>
          </rPr>
          <t>Based on 'US Survey foot', which is accounted for by a factor of 0.999998 squared in the equations
640 acres per US Survey square mile
43560 US Survey sq feet</t>
        </r>
      </text>
    </comment>
    <comment ref="P38" authorId="1">
      <text>
        <r>
          <rPr>
            <sz val="10"/>
            <color indexed="81"/>
            <rFont val="Tahoma"/>
          </rPr>
          <t>640 acres per square mile
43560 sq feet</t>
        </r>
      </text>
    </comment>
    <comment ref="B44" authorId="1">
      <text>
        <r>
          <rPr>
            <sz val="10"/>
            <color indexed="81"/>
            <rFont val="Tahoma"/>
          </rPr>
          <t>10,000 sq meters</t>
        </r>
      </text>
    </comment>
    <comment ref="P44" authorId="1">
      <text>
        <r>
          <rPr>
            <sz val="10"/>
            <color indexed="81"/>
            <rFont val="Tahoma"/>
          </rPr>
          <t>10,000 sq meters</t>
        </r>
      </text>
    </comment>
    <comment ref="B54" authorId="1">
      <text>
        <r>
          <rPr>
            <sz val="10"/>
            <color indexed="81"/>
            <rFont val="Tahoma"/>
          </rPr>
          <t>3 teaspoons per tablespoon</t>
        </r>
      </text>
    </comment>
    <comment ref="B55" authorId="1">
      <text>
        <r>
          <rPr>
            <sz val="10"/>
            <color indexed="81"/>
            <rFont val="Tahoma"/>
          </rPr>
          <t>2 tablespoons per fluid ounce</t>
        </r>
      </text>
    </comment>
    <comment ref="B60" authorId="1">
      <text>
        <r>
          <rPr>
            <sz val="10"/>
            <color indexed="81"/>
            <rFont val="Tahoma"/>
          </rPr>
          <t>213 cubic inches (exact)</t>
        </r>
      </text>
    </comment>
    <comment ref="B61" authorId="1">
      <text>
        <r>
          <rPr>
            <sz val="10"/>
            <color indexed="81"/>
            <rFont val="Tahoma"/>
          </rPr>
          <t>42 gallons</t>
        </r>
      </text>
    </comment>
    <comment ref="B62" authorId="1">
      <text>
        <r>
          <rPr>
            <sz val="10"/>
            <color indexed="81"/>
            <rFont val="Tahoma"/>
          </rPr>
          <t>One foot of water over one acre of area.
Calculated as cubic feet / 43560 (sq feet per acre)</t>
        </r>
      </text>
    </comment>
    <comment ref="B76" authorId="1">
      <text>
        <r>
          <rPr>
            <sz val="10"/>
            <color indexed="81"/>
            <rFont val="Tahoma"/>
          </rPr>
          <t>1/4 bushel
8 quarts
2 gallons
Primarily a unit of pickeled peppers</t>
        </r>
      </text>
    </comment>
    <comment ref="B77" authorId="1">
      <text>
        <r>
          <rPr>
            <sz val="10"/>
            <color indexed="81"/>
            <rFont val="Tahoma"/>
          </rPr>
          <t>8 dry US Gallons
2150.42 cubic inches (exact)</t>
        </r>
      </text>
    </comment>
    <comment ref="B84" authorId="1">
      <text>
        <r>
          <rPr>
            <sz val="10"/>
            <color indexed="81"/>
            <rFont val="Tahoma"/>
          </rPr>
          <t xml:space="preserve">0.06479891 gram
7000 grains per pound
5760 grains per troy pound
</t>
        </r>
      </text>
    </comment>
    <comment ref="B85" authorId="1">
      <text>
        <r>
          <rPr>
            <sz val="10"/>
            <color indexed="81"/>
            <rFont val="Tahoma"/>
          </rPr>
          <t>28.349523125 grams</t>
        </r>
      </text>
    </comment>
    <comment ref="B88" authorId="1">
      <text>
        <r>
          <rPr>
            <sz val="10"/>
            <color indexed="81"/>
            <rFont val="Tahoma"/>
          </rPr>
          <t>31.1034768 grams
12 troy ounces per troy pound
480 grains per troy ounce</t>
        </r>
      </text>
    </comment>
    <comment ref="B100" authorId="1">
      <text>
        <r>
          <rPr>
            <sz val="10"/>
            <color indexed="81"/>
            <rFont val="Tahoma"/>
          </rPr>
          <t xml:space="preserve">550 foot lbs / sec, which is 745.69987158227022 watts
</t>
        </r>
      </text>
    </comment>
    <comment ref="J100" authorId="1">
      <text>
        <r>
          <rPr>
            <sz val="10"/>
            <color indexed="81"/>
            <rFont val="Tahoma"/>
          </rPr>
          <t xml:space="preserve">550 foot lbs / sec, which is 745.69987158227022 watts
</t>
        </r>
      </text>
    </comment>
    <comment ref="B101" authorId="1">
      <text>
        <r>
          <rPr>
            <sz val="10"/>
            <color indexed="81"/>
            <rFont val="Tahoma"/>
          </rPr>
          <t xml:space="preserve">746 watts, exactly.
</t>
        </r>
      </text>
    </comment>
    <comment ref="J101" authorId="1">
      <text>
        <r>
          <rPr>
            <sz val="10"/>
            <color indexed="81"/>
            <rFont val="Tahoma"/>
          </rPr>
          <t xml:space="preserve">746 watts, exactly.
</t>
        </r>
      </text>
    </comment>
    <comment ref="B102" authorId="1">
      <text>
        <r>
          <rPr>
            <sz val="10"/>
            <color indexed="81"/>
            <rFont val="Tahoma"/>
          </rPr>
          <t>BTU = 1055.05585262 joules</t>
        </r>
      </text>
    </comment>
    <comment ref="J102" authorId="1">
      <text>
        <r>
          <rPr>
            <sz val="10"/>
            <color indexed="81"/>
            <rFont val="Tahoma"/>
          </rPr>
          <t>BTU = 1055.05585262 joules</t>
        </r>
      </text>
    </comment>
    <comment ref="B103" authorId="1">
      <text>
        <r>
          <rPr>
            <sz val="10"/>
            <color indexed="81"/>
            <rFont val="Tahoma"/>
          </rPr>
          <t xml:space="preserve">1.3558179483314004 watts </t>
        </r>
      </text>
    </comment>
    <comment ref="J103" authorId="1">
      <text>
        <r>
          <rPr>
            <sz val="10"/>
            <color indexed="81"/>
            <rFont val="Tahoma"/>
          </rPr>
          <t xml:space="preserve">1.3558179483314004 watts </t>
        </r>
      </text>
    </comment>
    <comment ref="B112" authorId="1">
      <text>
        <r>
          <rPr>
            <sz val="10"/>
            <color indexed="81"/>
            <rFont val="Tahoma"/>
          </rPr>
          <t>1 dyne of mass moving through 1cm.
1 joule = 10,000,000 ergs</t>
        </r>
      </text>
    </comment>
    <comment ref="B116" authorId="1">
      <text>
        <r>
          <rPr>
            <sz val="10"/>
            <color indexed="81"/>
            <rFont val="Tahoma"/>
          </rPr>
          <t>BTU = 1055.05585262 joules (exact)
International Table value</t>
        </r>
      </text>
    </comment>
    <comment ref="B117" authorId="1">
      <text>
        <r>
          <rPr>
            <sz val="10"/>
            <color indexed="81"/>
            <rFont val="Tahoma"/>
          </rPr>
          <t>US version.  Used by natual gas industry
105,480,400 joules</t>
        </r>
      </text>
    </comment>
    <comment ref="B118" authorId="1">
      <text>
        <r>
          <rPr>
            <sz val="10"/>
            <color indexed="81"/>
            <rFont val="Tahoma"/>
          </rPr>
          <t xml:space="preserve">1.3558179483314004 joules
</t>
        </r>
      </text>
    </comment>
    <comment ref="B119" authorId="1">
      <text>
        <r>
          <rPr>
            <sz val="10"/>
            <color indexed="81"/>
            <rFont val="Tahoma"/>
          </rPr>
          <t>4.1868 Joule
International Table conversion</t>
        </r>
      </text>
    </comment>
    <comment ref="B128" authorId="1">
      <text>
        <r>
          <rPr>
            <sz val="10"/>
            <color indexed="81"/>
            <rFont val="Tahoma"/>
          </rPr>
          <t>4.4482216152605 newtons exactly</t>
        </r>
      </text>
    </comment>
    <comment ref="B129" authorId="1">
      <text>
        <r>
          <rPr>
            <sz val="10"/>
            <color indexed="81"/>
            <rFont val="Tahoma"/>
          </rPr>
          <t>10-5 newtons</t>
        </r>
      </text>
    </comment>
    <comment ref="B131" authorId="1">
      <text>
        <r>
          <rPr>
            <sz val="10"/>
            <color indexed="81"/>
            <rFont val="Tahoma"/>
          </rPr>
          <t>9.80665 newtons exactly</t>
        </r>
      </text>
    </comment>
    <comment ref="B136" authorId="1">
      <text>
        <r>
          <rPr>
            <b/>
            <sz val="10"/>
            <color indexed="81"/>
            <rFont val="Tahoma"/>
          </rPr>
          <t>Bill Nale:</t>
        </r>
        <r>
          <rPr>
            <sz val="10"/>
            <color indexed="81"/>
            <rFont val="Tahoma"/>
          </rPr>
          <t xml:space="preserve">
Degrees Celsuis + 273.16</t>
        </r>
      </text>
    </comment>
    <comment ref="B147" authorId="1">
      <text>
        <r>
          <rPr>
            <sz val="10"/>
            <color indexed="81"/>
            <rFont val="Tahoma"/>
          </rPr>
          <t>nautical mile per hour</t>
        </r>
      </text>
    </comment>
    <comment ref="B148" authorId="1">
      <text>
        <r>
          <rPr>
            <sz val="10"/>
            <color indexed="81"/>
            <rFont val="Tahoma"/>
          </rPr>
          <t>Miles per hour * 8 * 24 * 14
(furlongs per mile * hours/day) * days per fortnight)</t>
        </r>
      </text>
    </comment>
    <comment ref="B152" authorId="1">
      <text>
        <r>
          <rPr>
            <sz val="10"/>
            <color indexed="81"/>
            <rFont val="Tahoma"/>
          </rPr>
          <t>speed of light: exactly 299,792,458 m/s
The meter is officially defined by this number as of 1983</t>
        </r>
      </text>
    </comment>
    <comment ref="B163" authorId="1">
      <text>
        <r>
          <rPr>
            <sz val="10"/>
            <color indexed="81"/>
            <rFont val="Tahoma"/>
          </rPr>
          <t>9.80665 m/s/s exactly</t>
        </r>
      </text>
    </comment>
    <comment ref="L163" authorId="1">
      <text>
        <r>
          <rPr>
            <sz val="10"/>
            <color indexed="81"/>
            <rFont val="Tahoma"/>
          </rPr>
          <t>9.80665 m/s/s ecactly</t>
        </r>
      </text>
    </comment>
    <comment ref="B177" authorId="1">
      <text>
        <r>
          <rPr>
            <sz val="10"/>
            <color indexed="81"/>
            <rFont val="Tahoma"/>
          </rPr>
          <t>14 Days</t>
        </r>
      </text>
    </comment>
    <comment ref="P178" authorId="1">
      <text>
        <r>
          <rPr>
            <sz val="10"/>
            <color indexed="81"/>
            <rFont val="Tahoma"/>
          </rPr>
          <t>Kept at 12 months for each year type</t>
        </r>
      </text>
    </comment>
    <comment ref="Q178" authorId="1">
      <text>
        <r>
          <rPr>
            <sz val="10"/>
            <color indexed="81"/>
            <rFont val="Tahoma"/>
          </rPr>
          <t>Kept at 12 months for each year type</t>
        </r>
      </text>
    </comment>
    <comment ref="N180" authorId="1">
      <text>
        <r>
          <rPr>
            <sz val="10"/>
            <color indexed="81"/>
            <rFont val="Tahoma"/>
          </rPr>
          <t xml:space="preserve">Kept at 12 months for each year type
</t>
        </r>
      </text>
    </comment>
    <comment ref="B181" authorId="1">
      <text>
        <r>
          <rPr>
            <sz val="10"/>
            <color indexed="81"/>
            <rFont val="Tahoma"/>
          </rPr>
          <t>defined here as 365 days, 5 hours, 48 minutes, and 46 seconds</t>
        </r>
      </text>
    </comment>
    <comment ref="N181" authorId="1">
      <text>
        <r>
          <rPr>
            <sz val="10"/>
            <color indexed="81"/>
            <rFont val="Tahoma"/>
          </rPr>
          <t>Kept at 12 months for each year type</t>
        </r>
      </text>
    </comment>
  </commentList>
</comments>
</file>

<file path=xl/comments3.xml><?xml version="1.0" encoding="utf-8"?>
<comments xmlns="http://schemas.openxmlformats.org/spreadsheetml/2006/main">
  <authors>
    <author>Jerry Klinke</author>
  </authors>
  <commentList>
    <comment ref="A20" authorId="0">
      <text>
        <r>
          <rPr>
            <b/>
            <sz val="8"/>
            <color indexed="81"/>
            <rFont val="Tahoma"/>
            <family val="2"/>
          </rPr>
          <t>Click to add custom material weights</t>
        </r>
        <r>
          <rPr>
            <sz val="8"/>
            <color indexed="81"/>
            <rFont val="Tahoma"/>
            <family val="2"/>
          </rPr>
          <t xml:space="preserve">
</t>
        </r>
      </text>
    </comment>
  </commentList>
</comments>
</file>

<file path=xl/comments4.xml><?xml version="1.0" encoding="utf-8"?>
<comments xmlns="http://schemas.openxmlformats.org/spreadsheetml/2006/main">
  <authors>
    <author>Jerry Klinke</author>
  </authors>
  <commentList>
    <comment ref="A20" authorId="0">
      <text>
        <r>
          <rPr>
            <b/>
            <sz val="8"/>
            <color indexed="81"/>
            <rFont val="Tahoma"/>
            <family val="2"/>
          </rPr>
          <t>Click to add custom material weights</t>
        </r>
        <r>
          <rPr>
            <sz val="8"/>
            <color indexed="81"/>
            <rFont val="Tahoma"/>
            <family val="2"/>
          </rPr>
          <t xml:space="preserve">
</t>
        </r>
      </text>
    </comment>
  </commentList>
</comments>
</file>

<file path=xl/comments5.xml><?xml version="1.0" encoding="utf-8"?>
<comments xmlns="http://schemas.openxmlformats.org/spreadsheetml/2006/main">
  <authors>
    <author>Jerry Klinke</author>
  </authors>
  <commentList>
    <comment ref="B20" authorId="0">
      <text>
        <r>
          <rPr>
            <b/>
            <sz val="8"/>
            <color indexed="81"/>
            <rFont val="Tahoma"/>
            <family val="2"/>
          </rPr>
          <t>Click to add custom material weights</t>
        </r>
        <r>
          <rPr>
            <sz val="8"/>
            <color indexed="81"/>
            <rFont val="Tahoma"/>
            <family val="2"/>
          </rPr>
          <t xml:space="preserve">
</t>
        </r>
      </text>
    </comment>
  </commentList>
</comments>
</file>

<file path=xl/comments6.xml><?xml version="1.0" encoding="utf-8"?>
<comments xmlns="http://schemas.openxmlformats.org/spreadsheetml/2006/main">
  <authors>
    <author>Jerry Klinke</author>
  </authors>
  <commentList>
    <comment ref="B20" authorId="0">
      <text>
        <r>
          <rPr>
            <b/>
            <sz val="8"/>
            <color indexed="81"/>
            <rFont val="Tahoma"/>
            <family val="2"/>
          </rPr>
          <t>Click to add custom material weights</t>
        </r>
        <r>
          <rPr>
            <sz val="8"/>
            <color indexed="81"/>
            <rFont val="Tahoma"/>
            <family val="2"/>
          </rPr>
          <t xml:space="preserve">
</t>
        </r>
      </text>
    </comment>
  </commentList>
</comments>
</file>

<file path=xl/comments7.xml><?xml version="1.0" encoding="utf-8"?>
<comments xmlns="http://schemas.openxmlformats.org/spreadsheetml/2006/main">
  <authors>
    <author>Jerry Klinke</author>
  </authors>
  <commentList>
    <comment ref="A20" authorId="0">
      <text>
        <r>
          <rPr>
            <b/>
            <sz val="8"/>
            <color indexed="81"/>
            <rFont val="Tahoma"/>
            <family val="2"/>
          </rPr>
          <t>Click to add custom material weights</t>
        </r>
        <r>
          <rPr>
            <sz val="8"/>
            <color indexed="81"/>
            <rFont val="Tahoma"/>
            <family val="2"/>
          </rPr>
          <t xml:space="preserve">
</t>
        </r>
      </text>
    </comment>
  </commentList>
</comments>
</file>

<file path=xl/comments8.xml><?xml version="1.0" encoding="utf-8"?>
<comments xmlns="http://schemas.openxmlformats.org/spreadsheetml/2006/main">
  <authors>
    <author>Jerry Klinke</author>
  </authors>
  <commentList>
    <comment ref="A20" authorId="0">
      <text>
        <r>
          <rPr>
            <b/>
            <sz val="8"/>
            <color indexed="81"/>
            <rFont val="Tahoma"/>
            <family val="2"/>
          </rPr>
          <t>Click to add custom material weights</t>
        </r>
        <r>
          <rPr>
            <sz val="8"/>
            <color indexed="81"/>
            <rFont val="Tahoma"/>
            <family val="2"/>
          </rPr>
          <t xml:space="preserve">
</t>
        </r>
      </text>
    </comment>
  </commentList>
</comments>
</file>

<file path=xl/comments9.xml><?xml version="1.0" encoding="utf-8"?>
<comments xmlns="http://schemas.openxmlformats.org/spreadsheetml/2006/main">
  <authors>
    <author>Jerry Klinke</author>
  </authors>
  <commentList>
    <comment ref="A20" authorId="0">
      <text>
        <r>
          <rPr>
            <b/>
            <sz val="8"/>
            <color indexed="81"/>
            <rFont val="Tahoma"/>
            <family val="2"/>
          </rPr>
          <t>Click to add custom material weights</t>
        </r>
        <r>
          <rPr>
            <sz val="8"/>
            <color indexed="81"/>
            <rFont val="Tahoma"/>
            <family val="2"/>
          </rPr>
          <t xml:space="preserve">
</t>
        </r>
      </text>
    </comment>
  </commentList>
</comments>
</file>

<file path=xl/sharedStrings.xml><?xml version="1.0" encoding="utf-8"?>
<sst xmlns="http://schemas.openxmlformats.org/spreadsheetml/2006/main" count="3069" uniqueCount="2141">
  <si>
    <t>Twin-Path® (TPX 10000) Vertical WLL: 100,000 lbs</t>
  </si>
  <si>
    <t>Twin-Path® (TPX 12500) Vertical WLL: 125,000 lbs</t>
  </si>
  <si>
    <t>Twin-Path® (TPX 15000) Vertical WLL: 150,000 lbs</t>
  </si>
  <si>
    <t>Twin-Path® (TPX 17500) Vertical WLL: 175,000 lbs</t>
  </si>
  <si>
    <t>Twin-Path® (TPX 20000) Vertical WLL: 200,000 lbs</t>
  </si>
  <si>
    <t>Twin-Path® (TPX 25000) Vertical WLL: 250,000 lbs</t>
  </si>
  <si>
    <t>Twin-Path® (TPX 27500) Vertical WLL: 275,000 lbs</t>
  </si>
  <si>
    <t>Twin-Path® (TPX 30000) Vertical WLL: 300,000 lbs</t>
  </si>
  <si>
    <t>Custom 1</t>
  </si>
  <si>
    <t>Custom 2</t>
  </si>
  <si>
    <t>Custom 3</t>
  </si>
  <si>
    <t>Min Pin Dia</t>
  </si>
  <si>
    <t>Weight of Load:</t>
  </si>
  <si>
    <t>5/16"- 18 UNC x 1.50 -Hoist Ring (Crosby® # 1016887)</t>
  </si>
  <si>
    <t>3/8" - 16 UNC x 1.50 -Hoist Ring (Crosby® # 1016898)</t>
  </si>
  <si>
    <t>1/2" - 13 UNC x 2.00 -Hoist Ring (Crosby® # 1016909)</t>
  </si>
  <si>
    <t>5/8" - 11 UNC x 2.00 -Hoist Ring (Crosby® # 1016920)</t>
  </si>
  <si>
    <t>3/4" - 10 UNC x 2.25 -Hoist Ring (Crosby® # 1016931)</t>
  </si>
  <si>
    <t>7/8" -  9 UNC x 2.75 -Hoist Ring (Crosby® # 1016953)</t>
  </si>
  <si>
    <t>1"   -  8 UNC x 4.00 -Hoist Ring (Crosby® # 1016969)</t>
  </si>
  <si>
    <t>1-1/4"- 7 UNC x 4.50 -Hoist Ring (Crosby® # 1016975)</t>
  </si>
  <si>
    <t>1-1/2"- 6 UNC x 6.50 -Hoist Ring (Crosby® # 1016986)</t>
  </si>
  <si>
    <t>2"- 4-1/2 UNC x 6.50 -Hoist Ring (Crosby® # 1016997)</t>
  </si>
  <si>
    <t>2-1/2" -4 UNC x 8.00 -Hoist Ring (Crosby® # 1017001)</t>
  </si>
  <si>
    <t>3" -    4 UNC x 10.50-Hoist Ring (Crosby® # 1017005)</t>
  </si>
  <si>
    <t>3-1/2"- 4 UNC x 13.00-Hoist Ring (Crosby® # 1017009)</t>
  </si>
  <si>
    <t>M8  X 1.25 X 40 METRIC  -Hoist Ring (Crosby® # 1016602)</t>
  </si>
  <si>
    <t>M10 X 1.50 X 40 METRIC  -Hoist Ring (Crosby® # 1016613)</t>
  </si>
  <si>
    <t>M12 X 1.75 X 50 METRIC  -Hoist Ring (Crosby® # 1016624)</t>
  </si>
  <si>
    <t>M16 X 2.00 X 60 METRIC  -Hoist Ring (Crosby® # 1016635)</t>
  </si>
  <si>
    <t>M20 X 2.50 X 65 METRIC  -Hoist Ring (Crosby® # 1016644)</t>
  </si>
  <si>
    <t>M24 X 3.00 X 80 METRIC  -Hoist Ring (Crosby® # 1016668)</t>
  </si>
  <si>
    <t>M30 X 3.50 X 120 METRIC -Hoist Ring (Crosby® # 1016679)</t>
  </si>
  <si>
    <t>M36 X 4.00 X 150 METRIC -Hoist Ring (Crosby® # 1016690)</t>
  </si>
  <si>
    <t>M42 X 4.50 X 160 METRIC -Hoist Ring (Crosby® # 1016701)</t>
  </si>
  <si>
    <t>M48 X 5.00 X 160 METRIC -Hoist Ring (Crosby® # 1016712)</t>
  </si>
  <si>
    <t>6 to 15 deg</t>
  </si>
  <si>
    <t>16 to 90</t>
  </si>
  <si>
    <t>1-1/4" x 8 TPI Decreased Eye (stubbies) GE turbines</t>
  </si>
  <si>
    <t>1-1/2" x 8 TPI Decreased Eye (stubbies) GE turbines</t>
  </si>
  <si>
    <t>2"     x 8 TPI Decreased Eye (stubbies) GE turbines</t>
  </si>
  <si>
    <t>2-1/2" x 8 TPI Decreased Eye (stubbies) GE turbines</t>
  </si>
  <si>
    <t>Custom 4</t>
  </si>
  <si>
    <t>1/4"-20   UNC -Crosby® Machinery Eyebolt ( # 9900182)</t>
  </si>
  <si>
    <t>5/16"-18 UNC -Crosby® Machinery Eyebolt ( # 9900191)</t>
  </si>
  <si>
    <t>3/8"-16   UNC -Crosby® Machinery Eyebolt ( # 9900208)</t>
  </si>
  <si>
    <t>1/2"-13   UNC -Crosby® Machinery Eyebolt ( # 9900217)</t>
  </si>
  <si>
    <t>5/8"-11   UNC -Crosby® Machinery Eyebolt ( # 9900226)</t>
  </si>
  <si>
    <t>3/4"-10   UNC -Crosby® Machinery Eyebolt ( # 9900235)</t>
  </si>
  <si>
    <t>7/8"-9     UNC -Crosby® Machinery Eyebolt ( # 9900244)</t>
  </si>
  <si>
    <t>1"-8        UNC -Crosby® Machinery Eyebolt ( # 9900253)</t>
  </si>
  <si>
    <t>1-1/4"-7  UNC -Crosby® Machinery Eyebolt ( # 9900262)</t>
  </si>
  <si>
    <t>1-1/2"-6  UNC -Crosby® Machinery Eyebolt ( # 9900271)</t>
  </si>
  <si>
    <t>M6 x 1.0    METRIC -Crosby® Machinery Eyebolt ( # 1045753)</t>
  </si>
  <si>
    <t>M8 x 1.25  METRIC -Crosby® Machinery Eyebolt ( # 1045789)</t>
  </si>
  <si>
    <t>M10 x 1.5  METRIC -Crosby® Machinery Eyebolt ( # 1045833)</t>
  </si>
  <si>
    <t>M12 x 1.75 METRIC -Crosby® Machinery Eyebolt ( # 1045869)</t>
  </si>
  <si>
    <t>M16 x 2.0  METRIC -Crosby® Machinery Eyebolt ( # 1045913)</t>
  </si>
  <si>
    <t>M20 x 2.5  METRIC -Crosby® Machinery Eyebolt ( # 1045995)</t>
  </si>
  <si>
    <t>M24 x 3.0  METRIC -Crosby® Machinery Eyebolt ( # 1046029)</t>
  </si>
  <si>
    <t>M30 x 3.5  METRIC -Crosby® Machinery Eyebolt ( # 1046075)</t>
  </si>
  <si>
    <t>M30 x 4.0  METRIC -Crosby® Machinery Eyebolt ( # 1046109)</t>
  </si>
  <si>
    <t>INCHES</t>
  </si>
  <si>
    <t>PURPLE Roundsling (Size 1)</t>
  </si>
  <si>
    <t>GREEN Roundsling (Size 2)</t>
  </si>
  <si>
    <t>YELLOW Roundsling (Size 3)</t>
  </si>
  <si>
    <t>TAN Roundsling (Size 4)</t>
  </si>
  <si>
    <t>RED Roundsling  (Size 5)</t>
  </si>
  <si>
    <t>WHITE Roundsling (Size 6)</t>
  </si>
  <si>
    <t>Release</t>
  </si>
  <si>
    <t>Date</t>
  </si>
  <si>
    <t>Description</t>
  </si>
  <si>
    <t>3.0 d</t>
  </si>
  <si>
    <t>Sheet</t>
  </si>
  <si>
    <t>2 Leg Config</t>
  </si>
  <si>
    <t>Removed eyebolts from the selections</t>
  </si>
  <si>
    <t>Choker reductions</t>
  </si>
  <si>
    <t>Improved the interface on each screen to help clarify the concepts and results</t>
  </si>
  <si>
    <t>Equip</t>
  </si>
  <si>
    <t>Repaired broken hyperlinks on this page</t>
  </si>
  <si>
    <t>Corrected errors in the metric conversions for angles and horizontal distance</t>
  </si>
  <si>
    <t>BLUE Roundsling (Size 7)</t>
  </si>
  <si>
    <t>ORANGE Roundsling (Size 8)</t>
  </si>
  <si>
    <t>ORANGE Roundsling (Size 9)</t>
  </si>
  <si>
    <t>ORANGE Roundsling (Size 10)</t>
  </si>
  <si>
    <t>ORANGE Roundsling (Size 11)</t>
  </si>
  <si>
    <t>ORANGE Roundsling (Size 12)</t>
  </si>
  <si>
    <t>ORANGE Roundsling (Size 13)</t>
  </si>
  <si>
    <t>WSTDA</t>
  </si>
  <si>
    <t>stock dia</t>
  </si>
  <si>
    <t>contact width (flattened)</t>
  </si>
  <si>
    <t>Custom 5</t>
  </si>
  <si>
    <t>Custom 6</t>
  </si>
  <si>
    <t>1/4"-20 Crosby® Shoulder Eyebolt</t>
  </si>
  <si>
    <t>5/16"-18 Crosby® Shoulder Eyebolt</t>
  </si>
  <si>
    <t>3/8"-16 Crosby® Shoulder Eyebolt</t>
  </si>
  <si>
    <t>1/2"-13 Crosby® Shoulder Eyebolt</t>
  </si>
  <si>
    <t>5/8"-11 Crosby® Shoulder Eyebolt</t>
  </si>
  <si>
    <t>3/4"-10 Crosby® Shoulder Eyebolt</t>
  </si>
  <si>
    <t>7/8"-9  Crosby® Shoulder Eyebolt</t>
  </si>
  <si>
    <t>1"-8    Crosby® Shoulder Eyebolt</t>
  </si>
  <si>
    <t>1-1/4"-7  Crosby® Shoulder Eyebolt</t>
  </si>
  <si>
    <t>1-1/2"-6  Crosby® Shoulder Eyebolt</t>
  </si>
  <si>
    <t>M6 x 1.0   Crosby® Shoulder Eyebolt</t>
  </si>
  <si>
    <t>M8 x 1.25  Crosby® Shoulder Eyebolt</t>
  </si>
  <si>
    <t>M10 x 1.5  Crosby® Shoulder Eyebolt</t>
  </si>
  <si>
    <t>M12 x 1.75 Crosby® Shoulder Eyebolt</t>
  </si>
  <si>
    <t>M16 x 2.0  Crosby® Shoulder Eyebolt</t>
  </si>
  <si>
    <t>M20 x 2.5  Crosby® Shoulder Eyebolt</t>
  </si>
  <si>
    <t>M24 x 3.0  Crosby® Shoulder Eyebolt</t>
  </si>
  <si>
    <t>M30 x 3.5  Crosby® Shoulder Eyebolt</t>
  </si>
  <si>
    <t>M30 x 4.0  Crosby® Shoulder Eyebolt</t>
  </si>
  <si>
    <t>5/16"- 18 Crosby® Hoist Ring</t>
  </si>
  <si>
    <t>3/8" - 16 Crosby® Hoist Ring</t>
  </si>
  <si>
    <t>1/2" - 13 Crosby® Hoist Ring</t>
  </si>
  <si>
    <t>5/8" - 11 Crosby® Hoist Ring</t>
  </si>
  <si>
    <t>3/4" - 10 Crosby® Hoist Ring</t>
  </si>
  <si>
    <t>7/8" -  9 Crosby® Hoist Ring</t>
  </si>
  <si>
    <t>1"   -  8 Crosby® Hoist Ring</t>
  </si>
  <si>
    <t>1-1/4"- 7 Crosby® Hoist Ring</t>
  </si>
  <si>
    <t>1-1/2"- 6 Crosby® Hoist Ring</t>
  </si>
  <si>
    <t>2"- 4-1/2 Crosby® Hoist Ring</t>
  </si>
  <si>
    <t>2-1/2" -4 Crosby® Hoist Ring</t>
  </si>
  <si>
    <t>3" -    4 Crosby® Hoist Ring</t>
  </si>
  <si>
    <t>3-1/2"- 4 Crosby® Hoist Ring</t>
  </si>
  <si>
    <t>M8  X 1.25 Crosby® Hoist Ring</t>
  </si>
  <si>
    <t>M10 X 1.50 Crosby® Hoist Ring</t>
  </si>
  <si>
    <t>M12 X 1.75 Crosby® Hoist Ring</t>
  </si>
  <si>
    <t>M16 X 2.00 Crosby® Hoist Ring</t>
  </si>
  <si>
    <t>M20 X 2.50 Crosby® Hoist Ring</t>
  </si>
  <si>
    <t>M24 X 3.00 Crosby® Hoist Ring</t>
  </si>
  <si>
    <t>M30 X 3.50 Crosby® Hoist Ring</t>
  </si>
  <si>
    <t>M36 X 4.00 Crosby® Hoist Ring</t>
  </si>
  <si>
    <t>M42 X 4.50 Crosby® Hoist Ring</t>
  </si>
  <si>
    <t>M48 X 5.00 Crosby® Hoist Ring</t>
  </si>
  <si>
    <t>1-1/4" x 8 TPI "Stubbie"</t>
  </si>
  <si>
    <t>1-1/2" x 8 TPI "Stubbie"</t>
  </si>
  <si>
    <t>2"     x 8 TPI "Stubbie"</t>
  </si>
  <si>
    <t>2-1/2" x 8 TPI "Stubbie"</t>
  </si>
  <si>
    <t>Combo Display</t>
  </si>
  <si>
    <t>Full Description</t>
  </si>
  <si>
    <t>Stock No.</t>
  </si>
  <si>
    <t>PIN</t>
  </si>
  <si>
    <t>BODY</t>
  </si>
  <si>
    <t>E</t>
  </si>
  <si>
    <t>H</t>
  </si>
  <si>
    <t>L</t>
  </si>
  <si>
    <t>M</t>
  </si>
  <si>
    <t>P</t>
  </si>
  <si>
    <t xml:space="preserve">3/16" </t>
  </si>
  <si>
    <t xml:space="preserve">3/4" </t>
  </si>
  <si>
    <t xml:space="preserve">1" </t>
  </si>
  <si>
    <t xml:space="preserve">1-3/8" </t>
  </si>
  <si>
    <t xml:space="preserve">1-3/4" </t>
  </si>
  <si>
    <t xml:space="preserve">2" </t>
  </si>
  <si>
    <t xml:space="preserve">2-1/2" </t>
  </si>
  <si>
    <t>K</t>
  </si>
  <si>
    <t>J</t>
  </si>
  <si>
    <t>4-3/4"</t>
  </si>
  <si>
    <t>5"</t>
  </si>
  <si>
    <t>6"</t>
  </si>
  <si>
    <t>7"</t>
  </si>
  <si>
    <t>R</t>
  </si>
  <si>
    <t xml:space="preserve"> 1/3</t>
  </si>
  <si>
    <t xml:space="preserve"> 1/2</t>
  </si>
  <si>
    <t xml:space="preserve"> 3/4</t>
  </si>
  <si>
    <t>Combo Name</t>
  </si>
  <si>
    <t>Ton Text</t>
  </si>
  <si>
    <t>2 2/3</t>
  </si>
  <si>
    <t>3 1/3</t>
  </si>
  <si>
    <t>9 1/2</t>
  </si>
  <si>
    <t>12 1/2</t>
  </si>
  <si>
    <t>21</t>
  </si>
  <si>
    <t>WEIGHT CALCULATIONS</t>
  </si>
  <si>
    <t>Cylinders</t>
  </si>
  <si>
    <t>Hollow Cylinders</t>
  </si>
  <si>
    <t>Fustum of Pyramid</t>
  </si>
  <si>
    <t>Fustum of Cone</t>
  </si>
  <si>
    <t>SHAPES</t>
  </si>
  <si>
    <t>COMPONENTS</t>
  </si>
  <si>
    <t>Pump upper casing</t>
  </si>
  <si>
    <t>Steel Pipes</t>
  </si>
  <si>
    <t>STRUCTURAL</t>
  </si>
  <si>
    <t>Standard I-Beams</t>
  </si>
  <si>
    <t>Wide Flange I-Beams</t>
  </si>
  <si>
    <t>Non-Standard I-Beams</t>
  </si>
  <si>
    <t>TENSIONS and ANGLES</t>
  </si>
  <si>
    <t>Basic Trig Calculations</t>
  </si>
  <si>
    <t>Find the Opposite and horizontal angle</t>
  </si>
  <si>
    <t>Find the Adjacent and horizontal angle</t>
  </si>
  <si>
    <t xml:space="preserve">Find the Hypotenuse and horizontal angle </t>
  </si>
  <si>
    <t>Symmetrical 2-leg calculations</t>
  </si>
  <si>
    <t>Tension calculations "by the book"</t>
  </si>
  <si>
    <t>Tight-Line calculations</t>
  </si>
  <si>
    <t>Drifting Loads (moving loads horizontally)</t>
  </si>
  <si>
    <t>RIGGING EQUIPMENT</t>
  </si>
  <si>
    <t>Slings</t>
  </si>
  <si>
    <t>Synthethic Web and Roundslings</t>
  </si>
  <si>
    <t>Wire Rope slings</t>
  </si>
  <si>
    <t>Twin-Path® High Performance slings</t>
  </si>
  <si>
    <t>Chain slings</t>
  </si>
  <si>
    <t>Choker Reduction - Single sling</t>
  </si>
  <si>
    <t>Choker Reduction - 2 leg configuration</t>
  </si>
  <si>
    <t>Hoist Rings</t>
  </si>
  <si>
    <t>Eyebolts</t>
  </si>
  <si>
    <t>Standard carbon &amp; alloy shackles</t>
  </si>
  <si>
    <t>Web type shackles (Crosby® sling savers)</t>
  </si>
  <si>
    <t>WideBody shackles (Crosby® )</t>
  </si>
  <si>
    <t>Weight1</t>
  </si>
  <si>
    <t>Weight2</t>
  </si>
  <si>
    <t>Weight3</t>
  </si>
  <si>
    <t>Weight4</t>
  </si>
  <si>
    <t>Weight5</t>
  </si>
  <si>
    <t>Weight6</t>
  </si>
  <si>
    <t>Weight7</t>
  </si>
  <si>
    <t>Weight8</t>
  </si>
  <si>
    <t>Weight9</t>
  </si>
  <si>
    <t>Weight10</t>
  </si>
  <si>
    <t>Weight11</t>
  </si>
  <si>
    <t>Weight12</t>
  </si>
  <si>
    <t>Weight13</t>
  </si>
  <si>
    <t>Weight14</t>
  </si>
  <si>
    <t>Weight15</t>
  </si>
  <si>
    <t>Weight16</t>
  </si>
  <si>
    <t>Weight17</t>
  </si>
  <si>
    <t>Weight18</t>
  </si>
  <si>
    <t>Calc1</t>
  </si>
  <si>
    <t>Calc2</t>
  </si>
  <si>
    <t>Calc3</t>
  </si>
  <si>
    <t>Calc4</t>
  </si>
  <si>
    <t>Calc5</t>
  </si>
  <si>
    <t>Calc6</t>
  </si>
  <si>
    <t>Calc7</t>
  </si>
  <si>
    <t>Calc8</t>
  </si>
  <si>
    <t>Calc9</t>
  </si>
  <si>
    <t>Calc10</t>
  </si>
  <si>
    <t>Gear1</t>
  </si>
  <si>
    <t>Gear2</t>
  </si>
  <si>
    <t>Gear3</t>
  </si>
  <si>
    <t>Gear4</t>
  </si>
  <si>
    <t>Gear5</t>
  </si>
  <si>
    <t>Gear6</t>
  </si>
  <si>
    <t>Gear7</t>
  </si>
  <si>
    <t>Gear8</t>
  </si>
  <si>
    <t>Gear9</t>
  </si>
  <si>
    <t>Master Index Page</t>
  </si>
  <si>
    <t>OTHER</t>
  </si>
  <si>
    <t>Custom and Standard Weights (material density)</t>
  </si>
  <si>
    <t>Custom_slings</t>
  </si>
  <si>
    <t>Custom_eyes</t>
  </si>
  <si>
    <t>Custom eyebolt data</t>
  </si>
  <si>
    <t>Workbook names</t>
  </si>
  <si>
    <t>Web &amp; Roundsling Shackles</t>
  </si>
  <si>
    <t>Structural Shapes</t>
  </si>
  <si>
    <t>Tension calculations, Hitch reductions and Trig calculators</t>
  </si>
  <si>
    <t>CARBON - SCREW PIN ANCHOR SHACKLES</t>
  </si>
  <si>
    <t>CARBON - SCREW PIN CHAIN SHACKLES</t>
  </si>
  <si>
    <t>ALLOY - SCREW PIN Anchor SHACKLES</t>
  </si>
  <si>
    <t>2</t>
  </si>
  <si>
    <t>5</t>
  </si>
  <si>
    <t>7</t>
  </si>
  <si>
    <t>15</t>
  </si>
  <si>
    <t>18</t>
  </si>
  <si>
    <t>SIZE</t>
  </si>
  <si>
    <t>WLL (t)</t>
  </si>
  <si>
    <t>Weight (lbs)</t>
  </si>
  <si>
    <t>ALLOY - BOLTED Anchor SHACKLES</t>
  </si>
  <si>
    <t>WIDE BODY SHACKLES</t>
  </si>
  <si>
    <t>CUSTOM SHACKLES</t>
  </si>
  <si>
    <t>Custom Description #1</t>
  </si>
  <si>
    <t>Custom Description #2</t>
  </si>
  <si>
    <t>Custom Description #3</t>
  </si>
  <si>
    <t>Custom Description #4</t>
  </si>
  <si>
    <t>Custom Description #5</t>
  </si>
  <si>
    <t>Custom Description #6</t>
  </si>
  <si>
    <t>Custom #2</t>
  </si>
  <si>
    <t>Custom #4</t>
  </si>
  <si>
    <t>Custom #5</t>
  </si>
  <si>
    <t>Custom #6</t>
  </si>
  <si>
    <t>'----------------------------------</t>
  </si>
  <si>
    <t>Crosby p/n:</t>
  </si>
  <si>
    <t>Weight:</t>
  </si>
  <si>
    <t>lbs each</t>
  </si>
  <si>
    <t>All dimensions shown in INCHES</t>
  </si>
  <si>
    <t>lbs WLL</t>
  </si>
  <si>
    <t>WLL = Working Load Limit</t>
  </si>
  <si>
    <t>Shackles</t>
  </si>
  <si>
    <t>Components</t>
  </si>
  <si>
    <t>Wide Body Shackles</t>
  </si>
  <si>
    <t>&gt;45</t>
  </si>
  <si>
    <t>Reference</t>
  </si>
  <si>
    <t>Crosby Users Guide, ASME version (10/04) panel 14</t>
  </si>
  <si>
    <t>1/4" FORGED Shouldered Eyebolt</t>
  </si>
  <si>
    <t>5/16" FORGED Shouldered Eyebolt</t>
  </si>
  <si>
    <t>3/8" FORGED Shouldered Eyebolt</t>
  </si>
  <si>
    <t>1/2" FORGED Shouldered Eyebolt</t>
  </si>
  <si>
    <t>5/8" FORGED Shouldered Eyebolt</t>
  </si>
  <si>
    <t>3/4" FORGED Shouldered Eyebolt</t>
  </si>
  <si>
    <t>7/8" FORGED Shouldered Eyebolt</t>
  </si>
  <si>
    <t>1" FORGED Shouldered Eyebolt</t>
  </si>
  <si>
    <t>1-1/4" FORGED Shouldered Eyebolt</t>
  </si>
  <si>
    <t>1-1/2" FORGED Shouldered Eyebolt</t>
  </si>
  <si>
    <t xml:space="preserve">TWIN-PATH® WITH  K-SPEC® Core Yarn </t>
  </si>
  <si>
    <t>Basket Hitch capacity is based on: D/d ratio of 20:1 AND sling legs within 5° of vertical</t>
  </si>
  <si>
    <t>D = Diameter of curvature around which the body of the sling is bent;  d = Diameter of rope.</t>
  </si>
  <si>
    <t xml:space="preserve">IPS  = Improved Plow Steel </t>
  </si>
  <si>
    <t>MS   = Mechanical Splice</t>
  </si>
  <si>
    <t xml:space="preserve">IWRC = Independent Wire Rope Core  </t>
  </si>
  <si>
    <t>Rated capacity of sling:</t>
  </si>
  <si>
    <t>Reduction of capacity of a choker hitch</t>
  </si>
  <si>
    <t>Top Shackle:</t>
  </si>
  <si>
    <t>Sling:</t>
  </si>
  <si>
    <t>Lower Shackle:</t>
  </si>
  <si>
    <t>Sling Length:</t>
  </si>
  <si>
    <t>Sling</t>
  </si>
  <si>
    <t>V-WLL</t>
  </si>
  <si>
    <t>Twin-Path® (TPX 1000)  10,000 lb WLL</t>
  </si>
  <si>
    <t>Twin-Path® (TPX 1500)  15,000 lb WLL</t>
  </si>
  <si>
    <t>Twin-Path® (TPX 2000)  20,000 lb WLL</t>
  </si>
  <si>
    <t>Twin-Path® (TPX 2500)  25,000 lb WLL</t>
  </si>
  <si>
    <t>Twin-Path® (TPX 3000)  30,000 lb WLL</t>
  </si>
  <si>
    <t>Twin-Path® (TPX 4000)  40,000 lb WLL</t>
  </si>
  <si>
    <t>Twin-Path® (TPX 5000)  50,000 lb WLL</t>
  </si>
  <si>
    <t>Twin-Path® (TPX 6000)  60,000 lb WLL</t>
  </si>
  <si>
    <t>Twin-Path® (TPX 7000)  70,000 lb WLL</t>
  </si>
  <si>
    <t>Twin-Path® (TPX 8500)  85,000 lb WLL</t>
  </si>
  <si>
    <t>Twin-Path® (TPX 10000) 100,000 lb WLL</t>
  </si>
  <si>
    <t>Twin-Path® (TPX 12500) 125,000 lb WLL</t>
  </si>
  <si>
    <t>Twin-Path® (TPX 15000) 150,000 lb WLL</t>
  </si>
  <si>
    <t>Twin-Path® (TPX 17500)  175,000 lb WLL</t>
  </si>
  <si>
    <t>Twin-Path® (TPX 20000)  200,000 lb WLL</t>
  </si>
  <si>
    <t>Twin-Path® (TPX 25000)  250,000 lb WLL</t>
  </si>
  <si>
    <t>Hoist Rings &amp; "stubbies"</t>
  </si>
  <si>
    <t>Web sling shackles (Crosby® sling savers)</t>
  </si>
  <si>
    <t>Twin-Path® (TPX 27500)  275,000 lb WLL</t>
  </si>
  <si>
    <t>Twin-Path® (TPX 30000)  300,000 lb WLL</t>
  </si>
  <si>
    <t>1" (25mm) NYLON WEB, 1 ply  1,600lb WLL</t>
  </si>
  <si>
    <t>2" (51mm) NYLON WEB, 1 ply  3,200lb WLL</t>
  </si>
  <si>
    <t>3" (76mm) NYLON WEB, 1 ply  4,800lb WLL</t>
  </si>
  <si>
    <t>4" (102mm) NYLON WEB, 1 ply  6,400lb WLL</t>
  </si>
  <si>
    <t>5" (127mm) NYLON WEB, 1 ply  8,000lb WLL</t>
  </si>
  <si>
    <t>6" (152mm) NYLON WEB, 1 ply  9,600lb WLL</t>
  </si>
  <si>
    <t>8" (203mm) NYLON WEB, 1 ply  12,800lb WLL</t>
  </si>
  <si>
    <t>10" (254mm) NYLON WEB, 1 ply  16,000lb WLL</t>
  </si>
  <si>
    <t>12" (305mm) NYLON WEB, 1 ply  19,200lb WLL</t>
  </si>
  <si>
    <t>1" (25mm) NYLON WEB, 2 ply  3,200lb WLL</t>
  </si>
  <si>
    <t>2" (51mm) NYLON WEB, 2 ply  6,400lb WLL</t>
  </si>
  <si>
    <t>3" (76mm) NYLON WEB, 2 ply  8,600lb WLL</t>
  </si>
  <si>
    <t>4" (102mm) NYLON WEB, 2 ply   11,500lb WLL</t>
  </si>
  <si>
    <t>5" (127mm) NYLON WEB, 2 ply  13,600lb WLL</t>
  </si>
  <si>
    <t>6" (152mm) NYLON WEB, 2 ply  16,300lb WLL</t>
  </si>
  <si>
    <t>8" (203mm) NYLON WEB, 2 ply  19,200lb WLL</t>
  </si>
  <si>
    <t>10" (254mm) NYLON WEB, 2 ply   22,400lb WLL</t>
  </si>
  <si>
    <t>12" (305mm) NYLON WEB, 2 ply   26,900lb WLL</t>
  </si>
  <si>
    <t>PURPLE Roundsling (Size 1)  2,600lb WLL</t>
  </si>
  <si>
    <t>GREEN Roundsling (Size 2)  5,300lb WLL</t>
  </si>
  <si>
    <t>YELLOW Roundsling (Size 3)  8,400lb WLL</t>
  </si>
  <si>
    <t>TAN Roundsling (Size 4)  10,600lb WLL</t>
  </si>
  <si>
    <t>RED Roundsling  (Size 5)  13,200lb WLL</t>
  </si>
  <si>
    <t>WHITE Roundsling (Size 6)  16,800lb WLL</t>
  </si>
  <si>
    <t>Custom #1 (See below)</t>
  </si>
  <si>
    <t>Change custom shackle values</t>
  </si>
  <si>
    <t>CLICK HERE TO RETURN TO SHACKLE PAGE</t>
  </si>
  <si>
    <t>CLICK HERE TO RETURN TO 2-LEG CALCULATION PAGE</t>
  </si>
  <si>
    <t>3.0e</t>
  </si>
  <si>
    <t>Various</t>
  </si>
  <si>
    <t>Repaired hyperlinks and protection problems</t>
  </si>
  <si>
    <t>BLUE Roundsling (Size 7)  21,200lb WLL</t>
  </si>
  <si>
    <t>ORANGE Roundsling (Size 8)  25,000lb WLL</t>
  </si>
  <si>
    <t>Trig Calculations</t>
  </si>
  <si>
    <t xml:space="preserve">Tension </t>
  </si>
  <si>
    <t>Custom and Standard Weights</t>
  </si>
  <si>
    <t>Code References</t>
  </si>
  <si>
    <t>General Help</t>
  </si>
  <si>
    <t>"by the book" calculations</t>
  </si>
  <si>
    <t>Tension</t>
  </si>
  <si>
    <t>Choker Reduction using</t>
  </si>
  <si>
    <t>2 slings</t>
  </si>
  <si>
    <t xml:space="preserve">   </t>
  </si>
  <si>
    <t xml:space="preserve">Enter a number in the yellow box which is in the same row as the unit which you want to convert from.  </t>
  </si>
  <si>
    <t>The conversion to all other units appears in that column.</t>
  </si>
  <si>
    <t>Jump to conversion -&gt;:</t>
  </si>
  <si>
    <t>CONVERSIONS</t>
  </si>
  <si>
    <t>ORANGE Roundsling (Size 9)  31,000lb WLL</t>
  </si>
  <si>
    <t>ORANGE Roundsling (Size 10)  40,000lb WLL</t>
  </si>
  <si>
    <t>ORANGE Roundsling (Size 11)  53,000lb WLL</t>
  </si>
  <si>
    <t>ORANGE Roundsling (Size 12)  66,000lb WLL</t>
  </si>
  <si>
    <t>ORANGE Roundsling (Size 13)  90,000lb WLL</t>
  </si>
  <si>
    <t xml:space="preserve">   1/4" dia.  6x19 Wire Rope   1,120lb WLL</t>
  </si>
  <si>
    <t xml:space="preserve">  5/16" dia.  6x19 Wire Rope   1,740lb WLL</t>
  </si>
  <si>
    <t xml:space="preserve">   3/8" dia.  6x19 Wire Rope   2,400lb WLL</t>
  </si>
  <si>
    <t xml:space="preserve">  7/16" dia.  6x19 Wire Rope   3,400lb WLL</t>
  </si>
  <si>
    <t xml:space="preserve">   1/2" dia.  6x19 Wire Rope   4,400lb WLL</t>
  </si>
  <si>
    <t xml:space="preserve">  9/16" dia.  6x19 Wire Rope   5,400lb WLL</t>
  </si>
  <si>
    <t xml:space="preserve">   5/8" dia.  6x19 Wire Rope  6,800lb WLL</t>
  </si>
  <si>
    <t xml:space="preserve">   3/4" dia.  6x19 Wire Rope   9,800lb WLL</t>
  </si>
  <si>
    <t xml:space="preserve">   7/8" dia.  6x19 Wire Rope   13,200lb WLL</t>
  </si>
  <si>
    <t>1" dia.  6x19 Wire Rope Sling   17,000lb WLL</t>
  </si>
  <si>
    <t>1-1/8" dia.  6x19 Wire Rope Sling  20,000lb WLL</t>
  </si>
  <si>
    <t>1-1/4" dia.  6x37 Wire Rope Sling  24,000lb WLL</t>
  </si>
  <si>
    <t>1-3/8" dia.  6x37 Wire Rope Sling  30,000lb WLL</t>
  </si>
  <si>
    <t>1-1/2" dia.  6x37 Wire Rope Sling   34,000lb WLL</t>
  </si>
  <si>
    <t>1-5/8" dia.  6x37 Wire Rope Sling   40,000lb WLL</t>
  </si>
  <si>
    <t>1-3/4" dia.  6x37 Wire Rope Sling  48,000lb WLL</t>
  </si>
  <si>
    <t>2" dia.  6x37 Wire Rope Sling  60,000lb WLL</t>
  </si>
  <si>
    <t>2" FORGED Shouldered Eyebolt</t>
  </si>
  <si>
    <t>2-1/2" FORGED Shouldered Eyebolt</t>
  </si>
  <si>
    <t>ANSI/ASME B18.15-1985 and ASME B30.26-2004</t>
  </si>
  <si>
    <t xml:space="preserve">1/4"  UNC Machinery Shoulder Eyebolt </t>
  </si>
  <si>
    <t xml:space="preserve">5/16" UNC Machinery Shoulder Eyebolt </t>
  </si>
  <si>
    <t xml:space="preserve">3/8"  UNC Machinery Shoulder Eyebolt </t>
  </si>
  <si>
    <t xml:space="preserve">1/2"  UNC Machinery Shoulder Eyebolt </t>
  </si>
  <si>
    <t xml:space="preserve">5/8"  UNC Machinery Shoulder Eyebolt </t>
  </si>
  <si>
    <t xml:space="preserve">3/4"  UNC Machinery Shoulder Eyebolt </t>
  </si>
  <si>
    <t xml:space="preserve">7/8"  UNC Machinery Shoulder Eyebolt </t>
  </si>
  <si>
    <t xml:space="preserve">1"    UNC Machinery Shoulder Eyebolt </t>
  </si>
  <si>
    <t xml:space="preserve">1-1/4" UNC Machinery Shoulder Eyebolt </t>
  </si>
  <si>
    <t xml:space="preserve">1-1/2" UNC Machinery Shoulder Eyebolt </t>
  </si>
  <si>
    <t xml:space="preserve">1-3/4" UNC Machinery Shoulder Eyebolt </t>
  </si>
  <si>
    <t>Custom Weight #2</t>
  </si>
  <si>
    <t>Custom Weight #1</t>
  </si>
  <si>
    <t>Custom Weight #3</t>
  </si>
  <si>
    <t xml:space="preserve">2" UNC Machinery Shoulder Eyebolt </t>
  </si>
  <si>
    <t>GE Spec N63: EM1095 07/06/81</t>
  </si>
  <si>
    <t>Calculated 60 deg:65%, 45 deg:30%, 90 deg:25%</t>
  </si>
  <si>
    <t>Crosby Catalog</t>
  </si>
  <si>
    <t>Custom</t>
  </si>
  <si>
    <t>Ref:</t>
  </si>
  <si>
    <t>Eye Bolts</t>
  </si>
  <si>
    <t>5/16"- 18 UNC x 1.50</t>
  </si>
  <si>
    <t xml:space="preserve">3/8" - 16 UNC x 1.50 </t>
  </si>
  <si>
    <t xml:space="preserve">1/2" - 13 UNC x 2.00 </t>
  </si>
  <si>
    <t>5/8" - 11 UNC x 2.00</t>
  </si>
  <si>
    <t xml:space="preserve">3/4" - 10 UNC x 2.25 </t>
  </si>
  <si>
    <t xml:space="preserve">7/8" -  9 UNC x 2.75 </t>
  </si>
  <si>
    <t>1"   -  8 UNC x 4.00</t>
  </si>
  <si>
    <t xml:space="preserve">1-1/4"- 7 UNC x 4.50 </t>
  </si>
  <si>
    <t xml:space="preserve">1-1/2"- 6 UNC x 6.50 </t>
  </si>
  <si>
    <t xml:space="preserve">2"- 4-1/2 UNC x 6.50 </t>
  </si>
  <si>
    <t xml:space="preserve">2-1/2" -4 UNC x 8.00 </t>
  </si>
  <si>
    <t>3" -    4 UNC x 10.50</t>
  </si>
  <si>
    <t>3-1/2"- 4 UNC x 13.00</t>
  </si>
  <si>
    <t>M8  X 1.25 X 40 METRIC</t>
  </si>
  <si>
    <t>M10 X 1.50 X 40 METRIC</t>
  </si>
  <si>
    <t xml:space="preserve">M12 X 1.75 X 50 METRIC </t>
  </si>
  <si>
    <t>M16 X 2.00 X 60 METRIC</t>
  </si>
  <si>
    <t>M20 X 2.50 X 65 METRIC</t>
  </si>
  <si>
    <t xml:space="preserve">M24 X 3.00 X 80 METRIC </t>
  </si>
  <si>
    <t>M30 X 3.50 X 120 METRIC</t>
  </si>
  <si>
    <t>M36 X 4.00 X 150 METRIC</t>
  </si>
  <si>
    <t xml:space="preserve">M42 X 4.50 X 160 METRIC </t>
  </si>
  <si>
    <t>M48 X 5.00 X 160 METRIC</t>
  </si>
  <si>
    <t>Metric Flag</t>
  </si>
  <si>
    <t>Thread size</t>
  </si>
  <si>
    <t>Torque</t>
  </si>
  <si>
    <t>Nm</t>
  </si>
  <si>
    <t>1-1/4" x 8 Threads Per Inch &gt;&gt;</t>
  </si>
  <si>
    <t>1-1/2" x 8 Threads Per Inch &gt;&gt;</t>
  </si>
  <si>
    <t>2" x 8 Threads Per Inch  &gt;&gt;</t>
  </si>
  <si>
    <t>2-1/2" x 8 Threads Per Inch &gt;&gt;</t>
  </si>
  <si>
    <t>Hoist Rings / Stubbies</t>
  </si>
  <si>
    <t>Horizonal Angle:</t>
  </si>
  <si>
    <t>0 degrees</t>
  </si>
  <si>
    <t>45 degrees</t>
  </si>
  <si>
    <t>90 degrees</t>
  </si>
  <si>
    <t>Enter threads size here</t>
  </si>
  <si>
    <t>Enter Reference source here</t>
  </si>
  <si>
    <t>Custom Component 1</t>
  </si>
  <si>
    <t>Custom Component 2</t>
  </si>
  <si>
    <t>Custom Component 3</t>
  </si>
  <si>
    <t>Full description goes here for # 1</t>
  </si>
  <si>
    <t>Full description goes here for # 2</t>
  </si>
  <si>
    <t>Full description goes here for # 3</t>
  </si>
  <si>
    <t>Formula</t>
  </si>
  <si>
    <t>total m</t>
  </si>
  <si>
    <t>Rigging Equipment</t>
  </si>
  <si>
    <t>Tension Calculations</t>
  </si>
  <si>
    <t>2 Leg sling tensions</t>
  </si>
  <si>
    <t>Tightlines</t>
  </si>
  <si>
    <t>Drifting Loads</t>
  </si>
  <si>
    <r>
      <t>90</t>
    </r>
    <r>
      <rPr>
        <b/>
        <sz val="10"/>
        <color indexed="12"/>
        <rFont val="Arial"/>
      </rPr>
      <t>º - 120º</t>
    </r>
  </si>
  <si>
    <r>
      <t>Over 120</t>
    </r>
    <r>
      <rPr>
        <b/>
        <sz val="10"/>
        <color indexed="12"/>
        <rFont val="Arial"/>
      </rPr>
      <t>º</t>
    </r>
  </si>
  <si>
    <r>
      <t>60</t>
    </r>
    <r>
      <rPr>
        <b/>
        <sz val="10"/>
        <color indexed="12"/>
        <rFont val="Arial"/>
      </rPr>
      <t>º - 89º</t>
    </r>
  </si>
  <si>
    <r>
      <t>30</t>
    </r>
    <r>
      <rPr>
        <b/>
        <sz val="10"/>
        <color indexed="12"/>
        <rFont val="Arial"/>
      </rPr>
      <t>º - 59º</t>
    </r>
  </si>
  <si>
    <r>
      <t>0</t>
    </r>
    <r>
      <rPr>
        <b/>
        <sz val="10"/>
        <color indexed="12"/>
        <rFont val="Arial"/>
      </rPr>
      <t>º - 29º</t>
    </r>
  </si>
  <si>
    <t>Rating</t>
  </si>
  <si>
    <t>"Adjusted"</t>
  </si>
  <si>
    <t>ANGLE OF CHOKE</t>
  </si>
  <si>
    <t>INFO</t>
  </si>
  <si>
    <t>Over 120º</t>
  </si>
  <si>
    <t>90º - 120º</t>
  </si>
  <si>
    <t>60º - 89º</t>
  </si>
  <si>
    <t>30º - 59º</t>
  </si>
  <si>
    <t>0º - 29º</t>
  </si>
  <si>
    <t>Web Sling &amp; Tie Down Association Standard Specification for Synthetic Polyester Roundslings: WSTDA-RS1 (revised 2001)</t>
  </si>
  <si>
    <t>EE1-801</t>
  </si>
  <si>
    <t>EE1-802</t>
  </si>
  <si>
    <t>EE1-803</t>
  </si>
  <si>
    <t>EE1-804</t>
  </si>
  <si>
    <t>EE1-805</t>
  </si>
  <si>
    <t>EE1-806</t>
  </si>
  <si>
    <t>EE1-808</t>
  </si>
  <si>
    <t>EE1-810</t>
  </si>
  <si>
    <t>EE1-812</t>
  </si>
  <si>
    <t>EN1-801</t>
  </si>
  <si>
    <t>EN1-802</t>
  </si>
  <si>
    <t>EN1-803</t>
  </si>
  <si>
    <t>EN1-804</t>
  </si>
  <si>
    <t>EN1-805</t>
  </si>
  <si>
    <t>EN1-806</t>
  </si>
  <si>
    <t>EN1-808</t>
  </si>
  <si>
    <t>EN1-810</t>
  </si>
  <si>
    <t>EN1-812</t>
  </si>
  <si>
    <t>Nylon Web Slings - Eye and Eye - Types 3 &amp; 4 - TWO PLY</t>
  </si>
  <si>
    <t>Nylon Web Slings - Endless - Types 5 - ONE PLY</t>
  </si>
  <si>
    <t>Nylon Web Slings - Eye and Eye - Types 3 &amp; 4 - ONE PLY</t>
  </si>
  <si>
    <t>EN2-801</t>
  </si>
  <si>
    <t>EN2-802</t>
  </si>
  <si>
    <t>EN2-803</t>
  </si>
  <si>
    <t>EN2-804</t>
  </si>
  <si>
    <t>EN2-805</t>
  </si>
  <si>
    <t>EN2-806</t>
  </si>
  <si>
    <t>EN2-808</t>
  </si>
  <si>
    <t>Code</t>
  </si>
  <si>
    <t>Section</t>
  </si>
  <si>
    <t xml:space="preserve">Reference </t>
  </si>
  <si>
    <t>ASME Regulations:</t>
  </si>
  <si>
    <t>ASME B30.1 Jacks</t>
  </si>
  <si>
    <t>ASME B30.2 Overhead Cranes</t>
  </si>
  <si>
    <t xml:space="preserve">ASME B30-3 Construction Tower Cranes </t>
  </si>
  <si>
    <t xml:space="preserve">ASME B30-4 Portal-Tower-Pedestal Cranes </t>
  </si>
  <si>
    <t xml:space="preserve">ASME B30-5 Mobile and Locomotive Cranes </t>
  </si>
  <si>
    <t xml:space="preserve">ASME B30-6 Derricks </t>
  </si>
  <si>
    <t xml:space="preserve">ASME B30-9 Slings </t>
  </si>
  <si>
    <t>ASME B30-10 Hooks</t>
  </si>
  <si>
    <t xml:space="preserve">ASME B30-16 Overhead Hoists (Underhung) </t>
  </si>
  <si>
    <t xml:space="preserve">ASME B30-17 Overhead and Gantry Cranes </t>
  </si>
  <si>
    <t>ASME B30-20 Below-the-Hook Lifting Devices</t>
  </si>
  <si>
    <t xml:space="preserve">ASME B30.21 Manually Lever Operated Hoists  </t>
  </si>
  <si>
    <t xml:space="preserve">ASME B30.23 Personnel Lifting Systems </t>
  </si>
  <si>
    <t>ASME B30.26 Hardware</t>
  </si>
  <si>
    <t xml:space="preserve">OSHA Regulations: </t>
  </si>
  <si>
    <t>29 CFR 1910.184 Slings (General Industry)</t>
  </si>
  <si>
    <t>29 CFR 1926.550 Suspended personnel platforms (Construction)</t>
  </si>
  <si>
    <t>29 CFR 1926.251 Rigging equipment for material handling (Construction)</t>
  </si>
  <si>
    <t>29 CFR 1926.753 Hoisting and rigging (Steel Erection)</t>
  </si>
  <si>
    <t>Other standards:</t>
  </si>
  <si>
    <t>General listing</t>
  </si>
  <si>
    <t>EN2-810</t>
  </si>
  <si>
    <t>EN2-812</t>
  </si>
  <si>
    <t>Nylon Web Slings - Endless - Types 5 - TWO PLY</t>
  </si>
  <si>
    <t>25 mm NYLON WEB, 1 ply (E-E)</t>
  </si>
  <si>
    <t>51 mm NYLON WEB, 1 ply (E-E)</t>
  </si>
  <si>
    <t>76 mm NYLON WEB, 1 ply (E-E)</t>
  </si>
  <si>
    <t>102 mm NYLON WEB, 1 ply (E-E)</t>
  </si>
  <si>
    <t>127 mm NYLON WEB, 1 ply (E-E)</t>
  </si>
  <si>
    <t>152 mm NYLON WEB, 1 ply (E-E)</t>
  </si>
  <si>
    <t>203 mm NYLON WEB, 1 ply (E-E)</t>
  </si>
  <si>
    <t>254 mm NYLON WEB, 1 ply (E-E)</t>
  </si>
  <si>
    <t>305 mm NYLON WEB, 1 ply (E-E)</t>
  </si>
  <si>
    <t>METRIC UNITS  ( kg. )</t>
  </si>
  <si>
    <t>25 mm NYLON WEB, 2 ply (E-E)</t>
  </si>
  <si>
    <t>51 mm NYLON WEB, 2 ply (E-E)</t>
  </si>
  <si>
    <t>76 mm NYLON WEB, 2 ply (E-E)</t>
  </si>
  <si>
    <t>102 mm NYLON WEB, 2 ply (E-E)</t>
  </si>
  <si>
    <t>127 mm NYLON WEB, 2 ply (E-E)</t>
  </si>
  <si>
    <t>152 mm NYLON WEB, 2 ply (E-E)</t>
  </si>
  <si>
    <t>203 mm NYLON WEB, 2 ply (E-E)</t>
  </si>
  <si>
    <t>254 mm NYLON WEB, 2 ply (E-E)</t>
  </si>
  <si>
    <t>305 mm NYLON WEB, 2 ply (E-E)</t>
  </si>
  <si>
    <t>25 mm NYLON WEB, 2 ply (EN)</t>
  </si>
  <si>
    <t>51 mm NYLON WEB, 2 ply (EN)</t>
  </si>
  <si>
    <t>76 mm NYLON WEB, 2 ply (EN)</t>
  </si>
  <si>
    <t>102 mm NYLON WEB, 2 ply (EN)</t>
  </si>
  <si>
    <t>Note #</t>
  </si>
  <si>
    <t>OSHA 29 CFR 1910</t>
  </si>
  <si>
    <t>184(c)(4)</t>
  </si>
  <si>
    <t>Component</t>
  </si>
  <si>
    <t>CHAINS</t>
  </si>
  <si>
    <t>WIRE ROPE</t>
  </si>
  <si>
    <t>The design factor for alloy steel chain slings shall be a minimum of 4</t>
  </si>
  <si>
    <t>9-1.4</t>
  </si>
  <si>
    <t>Horizontal sling angles less than 30 deg shall not be used except as recommended by the sling manufacturer or a qualified person</t>
  </si>
  <si>
    <t>9-1.5.3</t>
  </si>
  <si>
    <t>ASME B30.9 - 2003</t>
  </si>
  <si>
    <t>In a choker hitch, an angle of choke less than 120 degrees should not be used without reducing the rated load</t>
  </si>
  <si>
    <t>9-1.10.4(n)</t>
  </si>
  <si>
    <t>The design factor for wire rope slings shall be a minimum of 5</t>
  </si>
  <si>
    <t>9-2.4</t>
  </si>
  <si>
    <t>Horizontal sling angles less than 30° shall not be used except as recommended by the sling manufacturer or a qualified person</t>
  </si>
  <si>
    <t>NOTE: Rated loads for basket hitches and bridle slings are based on symmetrical loading. For multiple-leg slings used with nonsymmetrical loads, an analysis by a qualified person should be performed to prevent overloading of any leg.</t>
  </si>
  <si>
    <t>9-2.10.l(d)</t>
  </si>
  <si>
    <t>These rated loads are based on ... diameter of curvature over which the sling is used (D/d)</t>
  </si>
  <si>
    <t>9-2.5.1 (e)</t>
  </si>
  <si>
    <t>Sharp edges in contact with the sling should be padded with material of sufficient strength to protect the sling.</t>
  </si>
  <si>
    <t>9-2.10.4(d)</t>
  </si>
  <si>
    <t>In a choker hitch, the choke point should only be on the sling body, not on a splice or fitting.</t>
  </si>
  <si>
    <t>9-2.10.4(m)</t>
  </si>
  <si>
    <t>In a choker hitch, an angle of choke less than 120 deg should not be used without reducing the rated load.  Rated loads for angles of choke less than 120 deg shall be determined by using the values in ASME B30.9 - Fig. 7, the sling manufacturer, or a qualified person.</t>
  </si>
  <si>
    <t xml:space="preserve">9-2.10.4 (n) </t>
  </si>
  <si>
    <t>WEB SLINGS</t>
  </si>
  <si>
    <t>The design factor for synthetic webbing slings shall be a minimum of 5</t>
  </si>
  <si>
    <t>9-5.4</t>
  </si>
  <si>
    <t>Tables 19 through 23 (in ASME B30.9) show rated loads for singleleg vertical, choker, basket hitches, and two-leg bridle slings. For angles other than those shown in these tables,use the rated load for the next lower angle, or a qualified person shall calculate the rated load.</t>
  </si>
  <si>
    <t>9-5.5.2</t>
  </si>
  <si>
    <t>Horizontal sling angles less than 30 deg shall not be used except as recommended by the sling manufacturer or a qualified person.  NOTE: Rated loads for basket hitches and bridle slings are based on symmetrical loading.</t>
  </si>
  <si>
    <t>9-5.5.3</t>
  </si>
  <si>
    <t>Rated loads for angles of choke less than 120 deg shall be determined by using the values in Fig. 20, the sling manufacturer, or a qualified person.</t>
  </si>
  <si>
    <t>9-5.5.5</t>
  </si>
  <si>
    <t>For multiple-leg slings used with nonsymmetrical loads, an analysis by a qualified person should be performed to prevent overloading of any leg.</t>
  </si>
  <si>
    <t>9-5.10.1 (d)</t>
  </si>
  <si>
    <t>Multiple-leg slings shall be selected according to Tables 19 through 23 (in ASME B30.9) when used at the specific angles given in the table. Operation at other angles shall be limited to rated loads of the next lower angle given in the table or calculated by a qualified person.</t>
  </si>
  <si>
    <t>9-5.10.1 (e)</t>
  </si>
  <si>
    <t>Rated loads cited in this chapter are based on pin diameters shown in WSTDA-WS-1. Pin diameters smaller than these may reduce the rated load of the sling.</t>
  </si>
  <si>
    <t>9-5.10.1 (f)</t>
  </si>
  <si>
    <t>9-5.10.4 (m)</t>
  </si>
  <si>
    <t>In a choker hitch, an angle of choke less than 120 deg should not be used without reducing the rated load</t>
  </si>
  <si>
    <t>9-5.10.4 (n)</t>
  </si>
  <si>
    <t>ROUNDSLINGS</t>
  </si>
  <si>
    <t>The design factor for roundslings shall be a minimum of 5</t>
  </si>
  <si>
    <t>9-6.4</t>
  </si>
  <si>
    <t>Table 24 (in ASME B30.9) shows rated capacity for single-leg vertical, choker, basket hitches, and two-leg bridle slings. For angles other than those shown in this table, use the rated load for the next lower angle, or a qualified person shall calculate the rated load.</t>
  </si>
  <si>
    <t>9-6.5.2</t>
  </si>
  <si>
    <t>USER MANUAL (in PDF)</t>
  </si>
  <si>
    <t>Horizontal sling angles leSS than 30 deg shall not be used except as recommended by the sling manufacturer or a qualified person. NOTE: Rated loads for basket hitches and bridle slings are based on symmetrical loading. See para. 9-6.10.l(d) for nonsymmetrical loading.</t>
  </si>
  <si>
    <t>9-6.5.3</t>
  </si>
  <si>
    <t>Rated loads for slings used in a choker hitch shall conform to the values shown in Table 24, provided that the angle of choke is 120 deg or greater (see Fig. 23 in ASME B30.9)</t>
  </si>
  <si>
    <t>9-6.5.4</t>
  </si>
  <si>
    <t>Rated loads for angles of choke less than 120 deg shall be determined by ushg the values in Fig. 23 (in ASME B30.9), the sling manufacturer, or a qualified person</t>
  </si>
  <si>
    <t>9-6.5.5</t>
  </si>
  <si>
    <t>9-6.10.1 (d)</t>
  </si>
  <si>
    <t>Multiple-leg slings shall be selected according to Table 24 when used at the specific angles given in the table. Operation at other angles shall be limited to rated loads of the next lower angle given in the table or calculated by a qualified person.</t>
  </si>
  <si>
    <t>9-6.10.1 (e)</t>
  </si>
  <si>
    <t>Rated loads ...are based on pin diameters shown in WSTDA-RS-1</t>
  </si>
  <si>
    <t>9-6.10.1 (f)</t>
  </si>
  <si>
    <t>In a choker hitch, an angle of choke less than 120 deg should not be used without reducing the rated load.</t>
  </si>
  <si>
    <t>9-6.10.4 (m)</t>
  </si>
  <si>
    <t>Slings shall not be loaded in excess of their rated capacities</t>
  </si>
  <si>
    <t>Slings shall be padded or protected from the sharp edges of their loads</t>
  </si>
  <si>
    <t>184(c)(7)</t>
  </si>
  <si>
    <t>ALL SLINGS</t>
  </si>
  <si>
    <t>Each day before being used, the sling and all fastenings and attachments shall be inspected for damage or defects by a competent person designated by the employer. Additional inspections shall be performed during sling use, where service conditions warrant. Damaged or defective slings shall be immediately removed from service.</t>
  </si>
  <si>
    <t>184(d)</t>
  </si>
  <si>
    <t>127 mm NYLON WEB, 2 ply (EN)</t>
  </si>
  <si>
    <t>152 mm NYLON WEB, 2 ply (EN)</t>
  </si>
  <si>
    <t>203 mm NYLON WEB, 2 ply (EN)</t>
  </si>
  <si>
    <t>254 mm NYLON WEB, 2 ply (EN)</t>
  </si>
  <si>
    <t>305 mm NYLON WEB, 2 ply (EN)</t>
  </si>
  <si>
    <t>25 mm NYLON WEB, 1 ply (EN)</t>
  </si>
  <si>
    <t>51 mm NYLON WEB, 1 ply (EN)</t>
  </si>
  <si>
    <t>76 mm NYLON WEB, 1 ply (EN)</t>
  </si>
  <si>
    <t>102 mm NYLON WEB, 1 ply (EN)</t>
  </si>
  <si>
    <t>127 mm NYLON WEB, 1 ply (EN)</t>
  </si>
  <si>
    <t>152 mm NYLON WEB, 1 ply (EN)</t>
  </si>
  <si>
    <t>203 mm NYLON WEB, 1 ply (EN)</t>
  </si>
  <si>
    <t>254 mm NYLON WEB, 1 ply (EN)</t>
  </si>
  <si>
    <t>305 mm NYLON WEB, 1 ply (EN)</t>
  </si>
  <si>
    <t>Polyester Round Slings</t>
  </si>
  <si>
    <t>Nylon WEB slings</t>
  </si>
  <si>
    <t>Polyester Roundslings</t>
  </si>
  <si>
    <t>Wire Rope Slings</t>
  </si>
  <si>
    <t>Mfg No:</t>
  </si>
  <si>
    <t>1" (25mm) NYLON WEB, 1 ply (E-E)</t>
  </si>
  <si>
    <t>2" (51mm) NYLON WEB, 1 ply (E-E)</t>
  </si>
  <si>
    <t>3" (76mm) NYLON WEB, 1 ply (E-E)</t>
  </si>
  <si>
    <t>4" (102mm) NYLON WEB, 1 ply (E-E)</t>
  </si>
  <si>
    <t>5" (127mm) NYLON WEB, 1 ply (E-E)</t>
  </si>
  <si>
    <t>6" (152mm) NYLON WEB, 1 ply (E-E)</t>
  </si>
  <si>
    <t>8" (203mm) NYLON WEB, 1 ply (E-E)</t>
  </si>
  <si>
    <t>10" (254mm) NYLON WEB, 1 ply (E-E)</t>
  </si>
  <si>
    <t>12" (305mm) NYLON WEB, 1 ply (E-E)</t>
  </si>
  <si>
    <t>1" (25mm) NYLON WEB, 2 ply (E-E)</t>
  </si>
  <si>
    <t>2" (51mm) NYLON WEB, 2 ply (E-E)</t>
  </si>
  <si>
    <t>3" (76mm) NYLON WEB, 2 ply (E-E)</t>
  </si>
  <si>
    <t>4" (102mm) NYLON WEB, 2 ply (E-E)</t>
  </si>
  <si>
    <t>5" (127mm) NYLON WEB, 2 ply (E-E)</t>
  </si>
  <si>
    <t>6" (152mm) NYLON WEB, 2 ply (E-E)</t>
  </si>
  <si>
    <t>8" (203mm) NYLON WEB, 2 ply (E-E)</t>
  </si>
  <si>
    <t>10" (254mm) NYLON WEB, 2 ply (E-E)</t>
  </si>
  <si>
    <t>12" (305mm) NYLON WEB, 2 ply (E-E)</t>
  </si>
  <si>
    <t>1" (25mm) NYLON WEB, 2 ply (EN)</t>
  </si>
  <si>
    <t>2" (51mm) NYLON WEB, 2 ply (EN)</t>
  </si>
  <si>
    <t>3" (76mm) NYLON WEB, 2 ply (EN)</t>
  </si>
  <si>
    <t>4" (102mm) NYLON WEB, 2 ply (EN)</t>
  </si>
  <si>
    <t>5" (127mm) NYLON WEB, 2 ply (EN)</t>
  </si>
  <si>
    <t>6" (152mm) NYLON WEB, 2 ply (EN)</t>
  </si>
  <si>
    <t>8" (203mm) NYLON WEB, 2 ply (EN)</t>
  </si>
  <si>
    <t>10" (254mm) NYLON WEB, 2 ply (EN)</t>
  </si>
  <si>
    <t>12" (305mm) NYLON WEB, 2 ply (EN)</t>
  </si>
  <si>
    <t>1" (25mm) NYLON WEB, 1 ply (EN)</t>
  </si>
  <si>
    <t>2" (51mm) NYLON WEB, 1 ply (EN)</t>
  </si>
  <si>
    <t>3" (76mm) NYLON WEB, 1 ply (EN)</t>
  </si>
  <si>
    <t>4" (102mm) NYLON WEB, 1 ply (EN)</t>
  </si>
  <si>
    <t>5" (127mm) NYLON WEB, 1 ply (EN)</t>
  </si>
  <si>
    <t>6" (152mm) NYLON WEB, 1 ply (EN)</t>
  </si>
  <si>
    <t>8" (203mm) NYLON WEB, 1 ply (EN)</t>
  </si>
  <si>
    <t>10" (254mm) NYLON WEB, 1 ply (EN)</t>
  </si>
  <si>
    <t>12" (305mm) NYLON WEB, 1 ply (EN)</t>
  </si>
  <si>
    <t>cm-&gt;in</t>
  </si>
  <si>
    <t>WSTDA-RS1   Standard Specification for Synthetic Polyester Roundslings</t>
  </si>
  <si>
    <t>LU</t>
  </si>
  <si>
    <t>WSTDA Values</t>
  </si>
  <si>
    <t>?</t>
  </si>
  <si>
    <t xml:space="preserve">   1/4" dia.  6x19 Wire Rope Sling - IPS, IWRC, MS</t>
  </si>
  <si>
    <t xml:space="preserve">  5/16" dia.  6x19 Wire Rope Sling - IPS, IWRC, MS</t>
  </si>
  <si>
    <t xml:space="preserve">   3/8" dia.  6x19 Wire Rope Sling - IPS, IWRC, MS</t>
  </si>
  <si>
    <t xml:space="preserve">  7/16" dia.  6x19 Wire Rope Sling - IPS, IWRC, MS</t>
  </si>
  <si>
    <t xml:space="preserve">   1/2" dia.  6x19 Wire Rope Sling - IPS, IWRC, MS</t>
  </si>
  <si>
    <t xml:space="preserve">  9/16" dia.  6x19 Wire Rope Sling - IPS, IWRC, MS</t>
  </si>
  <si>
    <t>LIMITED EVALUATION COPY</t>
  </si>
  <si>
    <t xml:space="preserve">   5/8" dia.  6x19 Wire Rope Sling - IPS, IWRC, MS</t>
  </si>
  <si>
    <t xml:space="preserve">   3/4" dia.  6x19 Wire Rope Sling - IPS, IWRC, MS</t>
  </si>
  <si>
    <t xml:space="preserve">   7/8" dia.  6x19 Wire Rope Sling - IPS, IWRC, MS</t>
  </si>
  <si>
    <t>1" dia.  6x19 Wire Rope Sling - IPS, IWRC, MS</t>
  </si>
  <si>
    <t>1-1/8" dia.  6x19 Wire Rope Sling - IPS, IWRC, MS</t>
  </si>
  <si>
    <t>1-1/4" dia.  6x37 Wire Rope Sling - IPS, IWRC, MS</t>
  </si>
  <si>
    <t>1-3/8" dia.  6x37 Wire Rope Sling - IPS, IWRC, MS</t>
  </si>
  <si>
    <t>1-5/8" dia.  6x37 Wire Rope Sling - IPS, IWRC, MS</t>
  </si>
  <si>
    <t>1-3/4" dia.  6x37 Wire Rope Sling - IPS, IWRC, MS</t>
  </si>
  <si>
    <t>2" dia.  6x37 Wire Rope Sling - IPS, IWRC, MS</t>
  </si>
  <si>
    <t>Calculated Values</t>
  </si>
  <si>
    <t>OSHA 1910.184 TABLE N-184-4</t>
  </si>
  <si>
    <t>A red triangle in the upper right of a cell indicates that it contains a comment.</t>
  </si>
  <si>
    <t>Solve Right Angle Triangle Problems</t>
  </si>
  <si>
    <t>from
mils</t>
  </si>
  <si>
    <t>from
inches</t>
  </si>
  <si>
    <t>from
feet</t>
  </si>
  <si>
    <t>from
yards</t>
  </si>
  <si>
    <t>from
miles</t>
  </si>
  <si>
    <t>from
 nautical miles</t>
  </si>
  <si>
    <t>from
microns</t>
  </si>
  <si>
    <t>from
millimeters</t>
  </si>
  <si>
    <t>from centimeters</t>
  </si>
  <si>
    <t>from
meters</t>
  </si>
  <si>
    <t>from
kilometers</t>
  </si>
  <si>
    <t>from
Furlong</t>
  </si>
  <si>
    <t>from
rods</t>
  </si>
  <si>
    <t>from
light years</t>
  </si>
  <si>
    <t>English</t>
  </si>
  <si>
    <t>mils</t>
  </si>
  <si>
    <t>yards</t>
  </si>
  <si>
    <t>Miles</t>
  </si>
  <si>
    <t>nautical miles</t>
  </si>
  <si>
    <t>Metric</t>
  </si>
  <si>
    <t>Microns (um)</t>
  </si>
  <si>
    <t>millimeters (mm)</t>
  </si>
  <si>
    <t>Centimeters (cm)</t>
  </si>
  <si>
    <t>meters</t>
  </si>
  <si>
    <t>Kilometers (km)</t>
  </si>
  <si>
    <t>Furlong</t>
  </si>
  <si>
    <t>rods</t>
  </si>
  <si>
    <t>light years</t>
  </si>
  <si>
    <t>Note:  Light years uses speed of light as 299,792,458 m/s and 1 yr = 365d, 5h, 48m, 46s.</t>
  </si>
  <si>
    <t>All conversions are exact, with the stated definitions.</t>
  </si>
  <si>
    <t>Area</t>
  </si>
  <si>
    <t>from
Sq Mils</t>
  </si>
  <si>
    <t>from
Sq Inches</t>
  </si>
  <si>
    <t>from
Sq Feet</t>
  </si>
  <si>
    <t>from
Sq Yards</t>
  </si>
  <si>
    <t>from
Sq Miles</t>
  </si>
  <si>
    <t>from
Acres</t>
  </si>
  <si>
    <t>from
Sq Microns</t>
  </si>
  <si>
    <t>from
Sq mm</t>
  </si>
  <si>
    <t>from
Sq cm</t>
  </si>
  <si>
    <t>from
Sq meters</t>
  </si>
  <si>
    <t>from
Sq Kilometers</t>
  </si>
  <si>
    <t>from
Hectares</t>
  </si>
  <si>
    <t>Sq Mils</t>
  </si>
  <si>
    <t>Sq Inches (sq in)</t>
  </si>
  <si>
    <t>Sq Inches</t>
  </si>
  <si>
    <t>Sq Feet</t>
  </si>
  <si>
    <t>Sq Yards</t>
  </si>
  <si>
    <t>Sq Miles</t>
  </si>
  <si>
    <t>Acre</t>
  </si>
  <si>
    <t>Sq Microns</t>
  </si>
  <si>
    <t>Sq millimeters</t>
  </si>
  <si>
    <t>Sq Centimeters</t>
  </si>
  <si>
    <t>Sq Meters</t>
  </si>
  <si>
    <t>Sq Kilometers</t>
  </si>
  <si>
    <t>Hectares</t>
  </si>
  <si>
    <t>Note: all conversions are exact.</t>
  </si>
  <si>
    <t>All units except the acre are in international units in which 1 inch = 25.4mm exactly.  This has been the official definition since 1959.</t>
  </si>
  <si>
    <t>The official definition of the acre is still based on the 'US Survey foot', which was defined as 1200/3937 meters (making the inch 25.4000508..mm).  The difference is only a factor of 0.999998 linearly, or 2 parts per million.</t>
  </si>
  <si>
    <t>The calculations here convert between the acre and international units.  To convert acre to and from the old 'US Survey' areas, remove the (0.999998)^2 factor</t>
  </si>
  <si>
    <t>Volume</t>
  </si>
  <si>
    <t>from
cu Inches</t>
  </si>
  <si>
    <t>from
cu Feet</t>
  </si>
  <si>
    <t>from
cu Yards</t>
  </si>
  <si>
    <t>from
teaspoons</t>
  </si>
  <si>
    <t>from
tablespoons</t>
  </si>
  <si>
    <t>from
Fluid Ounces</t>
  </si>
  <si>
    <t>from
cups</t>
  </si>
  <si>
    <t>from
pints</t>
  </si>
  <si>
    <t>from
quarts</t>
  </si>
  <si>
    <t>from
gallons</t>
  </si>
  <si>
    <t>from
barrels</t>
  </si>
  <si>
    <t>from
acre feet</t>
  </si>
  <si>
    <t>from
cubic mm</t>
  </si>
  <si>
    <t>from
cubic cc</t>
  </si>
  <si>
    <t>from
cubic meters</t>
  </si>
  <si>
    <t>from
mililiters</t>
  </si>
  <si>
    <t>from
liters</t>
  </si>
  <si>
    <t>Cubic Inches (ci)</t>
  </si>
  <si>
    <t>Cubic Feet</t>
  </si>
  <si>
    <t>Cubic Yards</t>
  </si>
  <si>
    <t>English Fluid</t>
  </si>
  <si>
    <t>teaspoon (tsp)</t>
  </si>
  <si>
    <t>teaspoon</t>
  </si>
  <si>
    <t>tablespoon (tbsp)</t>
  </si>
  <si>
    <t>tablespoon</t>
  </si>
  <si>
    <t>Fluid Ounce</t>
  </si>
  <si>
    <t>cup</t>
  </si>
  <si>
    <t>pint (liquid)</t>
  </si>
  <si>
    <t>pint</t>
  </si>
  <si>
    <t>quart (liquid)</t>
  </si>
  <si>
    <t>quart</t>
  </si>
  <si>
    <t>gallon</t>
  </si>
  <si>
    <t>Barrel</t>
  </si>
  <si>
    <t>acre feet</t>
  </si>
  <si>
    <t>cubic millimeters</t>
  </si>
  <si>
    <t>cubic centimeters (cc)</t>
  </si>
  <si>
    <t>cubic meters</t>
  </si>
  <si>
    <t>milliliters (ml)</t>
  </si>
  <si>
    <t>liters</t>
  </si>
  <si>
    <t>Note: all conversion into and out of the English Fluid section use 231 cubic inches per gallon as the basis.  This is exact.</t>
  </si>
  <si>
    <t>All conversions are exact.</t>
  </si>
  <si>
    <t>All units except Acre-Feet are in international units, in which 1 inch = 25.4mm exactly.  See notes on "Area" above.</t>
  </si>
  <si>
    <t>For Acre-Feet, the definition is based on the "US Survey foot', which is accounted for by the (0.999998)^3 factor in the equations involving Acre-Feet.</t>
  </si>
  <si>
    <t>Dry Volume</t>
  </si>
  <si>
    <t>from
pint (dry)</t>
  </si>
  <si>
    <t>from
quart (dry)</t>
  </si>
  <si>
    <t>from
peck</t>
  </si>
  <si>
    <t>from
bushel</t>
  </si>
  <si>
    <t>from
liter</t>
  </si>
  <si>
    <t>pint (dry)</t>
  </si>
  <si>
    <t>quart (dry)</t>
  </si>
  <si>
    <t>peck</t>
  </si>
  <si>
    <t>bushel</t>
  </si>
  <si>
    <t>liter</t>
  </si>
  <si>
    <t>Conversions are exact</t>
  </si>
  <si>
    <t>In the English system dry unit is 1.163647… times larger than the equivalent liquid unit</t>
  </si>
  <si>
    <t>Mass</t>
  </si>
  <si>
    <t>from
grain</t>
  </si>
  <si>
    <t>from
Ounce</t>
  </si>
  <si>
    <t>from
Pound</t>
  </si>
  <si>
    <t>from
ton</t>
  </si>
  <si>
    <t>from
troy ounce</t>
  </si>
  <si>
    <t>from
troy pound</t>
  </si>
  <si>
    <t>from
milligram</t>
  </si>
  <si>
    <t>from
gram</t>
  </si>
  <si>
    <t>from
kilogram</t>
  </si>
  <si>
    <t>from
metric ton</t>
  </si>
  <si>
    <t>Grain</t>
  </si>
  <si>
    <t>Ounce (av)</t>
  </si>
  <si>
    <t>Pound (av)</t>
  </si>
  <si>
    <t>Ton</t>
  </si>
  <si>
    <t>Troy</t>
  </si>
  <si>
    <t>Troy Ounce</t>
  </si>
  <si>
    <t>Troy Pound</t>
  </si>
  <si>
    <t>milligram</t>
  </si>
  <si>
    <t>gram</t>
  </si>
  <si>
    <t>kilogram</t>
  </si>
  <si>
    <t>Metric ton</t>
  </si>
  <si>
    <t>Conversions between metric and English units are accurate to about 10 significant digits.</t>
  </si>
  <si>
    <t>av = avoirdupois</t>
  </si>
  <si>
    <t>Power</t>
  </si>
  <si>
    <t>from
watts</t>
  </si>
  <si>
    <t>from
kilowatts</t>
  </si>
  <si>
    <t>from
HP (550ft-lb)</t>
  </si>
  <si>
    <t>from
HP (elec)</t>
  </si>
  <si>
    <t>from
BTU/hr</t>
  </si>
  <si>
    <t>from
ft-lb/sec</t>
  </si>
  <si>
    <t>watt</t>
  </si>
  <si>
    <t>kilowatt (KW)</t>
  </si>
  <si>
    <t>Horsepower (550 ft-lb)</t>
  </si>
  <si>
    <t>Horsepower (electric)</t>
  </si>
  <si>
    <t>BTUs per hour</t>
  </si>
  <si>
    <t>foot-pounds per second</t>
  </si>
  <si>
    <t>Horsepower has several definitions.  The 550 ft-lb and electric are the most common, and are very close numerically.  Both are provided here.</t>
  </si>
  <si>
    <t>Conversions within watt, kilowatt, and Horsepower (electric) and BTUs per hour are exact.  Between Horsepower (550 ft-lb) &amp; Foot-lb per sec are also exact</t>
  </si>
  <si>
    <t>TOTAL Load Weight:</t>
  </si>
  <si>
    <t>(due to sling angles)</t>
  </si>
  <si>
    <t>(due to angle of choke)</t>
  </si>
  <si>
    <t>Tension (on each sling):</t>
  </si>
  <si>
    <t>Capacity (each sling):</t>
  </si>
  <si>
    <t>LBS</t>
  </si>
  <si>
    <t>ANGLE OF CHOKE:</t>
  </si>
  <si>
    <t>SELECT SLING</t>
  </si>
  <si>
    <t>Angle of Choke</t>
  </si>
  <si>
    <t>Conversions between two sets of units lsted above are good to 15 or more significant digits.</t>
  </si>
  <si>
    <t>newton-meters per second is the same numerically as watts</t>
  </si>
  <si>
    <t>Energy</t>
  </si>
  <si>
    <t>from
erg</t>
  </si>
  <si>
    <t>from
joule</t>
  </si>
  <si>
    <t xml:space="preserve">Recommended screen resolution is 1024 x 768 </t>
  </si>
  <si>
    <t>from
watt-hour</t>
  </si>
  <si>
    <t>from
KWH</t>
  </si>
  <si>
    <t>from
BTU</t>
  </si>
  <si>
    <t>from
therms</t>
  </si>
  <si>
    <t>from
foot-pounds</t>
  </si>
  <si>
    <t>from
calorie (heat)</t>
  </si>
  <si>
    <t>from
calorie (food)</t>
  </si>
  <si>
    <t>erg</t>
  </si>
  <si>
    <t>joule (watt second)</t>
  </si>
  <si>
    <t>watt hour</t>
  </si>
  <si>
    <t>kilowatt hour (KWH)</t>
  </si>
  <si>
    <t>BTU</t>
  </si>
  <si>
    <t>therm (US)</t>
  </si>
  <si>
    <t>foot-pounds</t>
  </si>
  <si>
    <t>calorie (heat)</t>
  </si>
  <si>
    <t>calorie (food)</t>
  </si>
  <si>
    <t>INDUSTRY CODES AND STANDARDS OVERVIEW</t>
  </si>
  <si>
    <t>International Table units are used in all cases.  Thermochemical units are slighly different by about 0.067%)</t>
  </si>
  <si>
    <t>All conversions are exact, with the possible exception of conversions between foot-pounds and other units, which is accurate to at least 15 significant digits.</t>
  </si>
  <si>
    <t>Newton-Meters is the same numerically as joules</t>
  </si>
  <si>
    <t>Force</t>
  </si>
  <si>
    <t>from
ounce</t>
  </si>
  <si>
    <t>from
pound</t>
  </si>
  <si>
    <t>from
dyne</t>
  </si>
  <si>
    <t>from
newton</t>
  </si>
  <si>
    <t>ounce-force</t>
  </si>
  <si>
    <t>pound-force</t>
  </si>
  <si>
    <t>dyne</t>
  </si>
  <si>
    <t>newton</t>
  </si>
  <si>
    <t>kilogram-force</t>
  </si>
  <si>
    <t>All conversions are exact</t>
  </si>
  <si>
    <t>Temperature</t>
  </si>
  <si>
    <t>from
Kelvin</t>
  </si>
  <si>
    <t>from
Celsius</t>
  </si>
  <si>
    <t>from
Fahrenheit</t>
  </si>
  <si>
    <t>Degrees Kelvin</t>
  </si>
  <si>
    <t>Degrees Celsius</t>
  </si>
  <si>
    <t>Degrees Fahrenheit</t>
  </si>
  <si>
    <t>Velocity</t>
  </si>
  <si>
    <t>from
ips</t>
  </si>
  <si>
    <t>from
fps</t>
  </si>
  <si>
    <t>from
miles/sec</t>
  </si>
  <si>
    <t>from
mph</t>
  </si>
  <si>
    <t>from
knots</t>
  </si>
  <si>
    <t>from
ful/fort</t>
  </si>
  <si>
    <t>from
m/s</t>
  </si>
  <si>
    <t>from
Km/s</t>
  </si>
  <si>
    <t>from
Km/h</t>
  </si>
  <si>
    <t>from
c</t>
  </si>
  <si>
    <t>inches per second (ips)</t>
  </si>
  <si>
    <t>feet per second (fps)</t>
  </si>
  <si>
    <t>feet per second</t>
  </si>
  <si>
    <t>miles per second</t>
  </si>
  <si>
    <t>miles per hour (mph)</t>
  </si>
  <si>
    <t>knot</t>
  </si>
  <si>
    <t>Furlongs per fortnight</t>
  </si>
  <si>
    <t>meters per second</t>
  </si>
  <si>
    <t>kilometers per second</t>
  </si>
  <si>
    <t>kilometers per hour</t>
  </si>
  <si>
    <t>c (speed of light)</t>
  </si>
  <si>
    <t>Acceleration</t>
  </si>
  <si>
    <t>from
i/s/s</t>
  </si>
  <si>
    <t>from
f/s/s</t>
  </si>
  <si>
    <t>from
mph/s</t>
  </si>
  <si>
    <t>from
m/s/s</t>
  </si>
  <si>
    <t>from
Km/s/s</t>
  </si>
  <si>
    <t>from
Km/h/s</t>
  </si>
  <si>
    <t>from
G</t>
  </si>
  <si>
    <t>Engilsh</t>
  </si>
  <si>
    <t>inches per second per second</t>
  </si>
  <si>
    <t>feet per second per second</t>
  </si>
  <si>
    <t>miles per hour per second</t>
  </si>
  <si>
    <t>meters per second per second</t>
  </si>
  <si>
    <t>kilometers per second per second</t>
  </si>
  <si>
    <t>kilometers per hour per second</t>
  </si>
  <si>
    <t>G (gravitational pull)</t>
  </si>
  <si>
    <t>Time</t>
  </si>
  <si>
    <t>from
ps</t>
  </si>
  <si>
    <t>from
ns</t>
  </si>
  <si>
    <t>from
microsecond</t>
  </si>
  <si>
    <t>from
ms</t>
  </si>
  <si>
    <t>from
seconds</t>
  </si>
  <si>
    <t>from
minutes</t>
  </si>
  <si>
    <t>from
hours</t>
  </si>
  <si>
    <t>from
days</t>
  </si>
  <si>
    <t>from
weeks</t>
  </si>
  <si>
    <t>from
fortnights</t>
  </si>
  <si>
    <t>from
months</t>
  </si>
  <si>
    <t>from
years (365)</t>
  </si>
  <si>
    <t>from
leap years</t>
  </si>
  <si>
    <t>from
year (mean)</t>
  </si>
  <si>
    <t>picosecond (ps)</t>
  </si>
  <si>
    <t>nanosecond (ns)</t>
  </si>
  <si>
    <t>microsecond (us)</t>
  </si>
  <si>
    <t>millisecond (ms)</t>
  </si>
  <si>
    <t>seconds</t>
  </si>
  <si>
    <t>minutes</t>
  </si>
  <si>
    <t>hours</t>
  </si>
  <si>
    <t>days</t>
  </si>
  <si>
    <t>weeks</t>
  </si>
  <si>
    <t>Fortnight</t>
  </si>
  <si>
    <t>months (1/12th yr (365 day, except for last 2)</t>
  </si>
  <si>
    <t>Months</t>
  </si>
  <si>
    <t>year (365 day)</t>
  </si>
  <si>
    <t>year (leap)</t>
  </si>
  <si>
    <t>year (mean)</t>
  </si>
  <si>
    <t>Note: year (mean) defined here as: defined here as 365 days, 5 hours, 48 minutes, and 46 seconds</t>
  </si>
  <si>
    <t>All conversions are exact, with the stated definitions</t>
  </si>
  <si>
    <t>Month to year conversion is defined as exactly 12, for all 3 year types.</t>
  </si>
  <si>
    <t>Data</t>
  </si>
  <si>
    <t>from
bits</t>
  </si>
  <si>
    <t>from
nibbles</t>
  </si>
  <si>
    <t>from
bytes</t>
  </si>
  <si>
    <t>from
kilobytes</t>
  </si>
  <si>
    <t>from
megabytes</t>
  </si>
  <si>
    <t>from
gigabytes</t>
  </si>
  <si>
    <t>from
terabytes</t>
  </si>
  <si>
    <t>bit (b)</t>
  </si>
  <si>
    <t>nibble</t>
  </si>
  <si>
    <t>byte (B)</t>
  </si>
  <si>
    <t>kilobyte (KB)</t>
  </si>
  <si>
    <t>megabyte (MB)</t>
  </si>
  <si>
    <t>gigabyte (GB)</t>
  </si>
  <si>
    <t>terabyte (TB)</t>
  </si>
  <si>
    <t>Note:</t>
  </si>
  <si>
    <t xml:space="preserve">  System memory and flash memory are generally manufactured in power of 2 data quantities, and confrom to the numbers above.</t>
  </si>
  <si>
    <t xml:space="preserve">  Disk drives are not manufactured in power of 2 data quantities, and are generally measured in base 10, where a megabyte=1,000,000 bytes, and a gigabyte=1,000,000,000 bytes as this allows the marketing department to quote slightly higher numbers.</t>
  </si>
  <si>
    <t>LENGTH</t>
  </si>
  <si>
    <t>AREA</t>
  </si>
  <si>
    <t>Conversions</t>
  </si>
  <si>
    <t>Twin-Path® Slings</t>
  </si>
  <si>
    <t>Twin-Path® SLINGS</t>
  </si>
  <si>
    <t>Special Tag Column</t>
  </si>
  <si>
    <t>WS</t>
  </si>
  <si>
    <t>RS</t>
  </si>
  <si>
    <t>WR</t>
  </si>
  <si>
    <t>TP</t>
  </si>
  <si>
    <t>Hardware</t>
  </si>
  <si>
    <t>9-2.5.3</t>
  </si>
  <si>
    <t>Tension per sling:</t>
  </si>
  <si>
    <t xml:space="preserve">S-281 </t>
  </si>
  <si>
    <t xml:space="preserve">S-253 </t>
  </si>
  <si>
    <t xml:space="preserve"> 3-1/4</t>
  </si>
  <si>
    <t>Web 4" (RS #4)</t>
  </si>
  <si>
    <t>Web 3" (RS # 3)</t>
  </si>
  <si>
    <t>Web 6" (RS #6)</t>
  </si>
  <si>
    <t>Web 2" (RS# 2)</t>
  </si>
  <si>
    <t>N/A</t>
  </si>
  <si>
    <t xml:space="preserve"> 4-1/2</t>
  </si>
  <si>
    <t>Angle =</t>
  </si>
  <si>
    <t>side b=</t>
  </si>
  <si>
    <t>side a=</t>
  </si>
  <si>
    <t>Solve c</t>
  </si>
  <si>
    <t>Then c =</t>
  </si>
  <si>
    <t>Solve b</t>
  </si>
  <si>
    <t>side c=</t>
  </si>
  <si>
    <t>Then b =</t>
  </si>
  <si>
    <t>Solve a</t>
  </si>
  <si>
    <t>side c =</t>
  </si>
  <si>
    <t>side  b =</t>
  </si>
  <si>
    <t>Then a =</t>
  </si>
  <si>
    <t>Tension Side 1:</t>
  </si>
  <si>
    <t>Tension Side 2:</t>
  </si>
  <si>
    <t xml:space="preserve"> 6-1/4</t>
  </si>
  <si>
    <t xml:space="preserve"> 8-1/2</t>
  </si>
  <si>
    <t>Web 1" (RS# 1&amp;2)</t>
  </si>
  <si>
    <t>Web 1.5" (RS# 3&amp;4)</t>
  </si>
  <si>
    <t>Web 2" (RS# 5&amp;6)</t>
  </si>
  <si>
    <t>Web 3" (RS# 7&amp;8)</t>
  </si>
  <si>
    <t>Web 4" (RS# 9&amp;10)</t>
  </si>
  <si>
    <t>Web 5" (RS# 11&amp;12)</t>
  </si>
  <si>
    <t>Web 6" (RS# 13)</t>
  </si>
  <si>
    <t xml:space="preserve"> 6-1/2</t>
  </si>
  <si>
    <t xml:space="preserve"> 8-3/4</t>
  </si>
  <si>
    <t xml:space="preserve"> 12-1/2</t>
  </si>
  <si>
    <t xml:space="preserve"> 20-1/2</t>
  </si>
  <si>
    <t>5°</t>
  </si>
  <si>
    <t>10°</t>
  </si>
  <si>
    <t>15°</t>
  </si>
  <si>
    <t>20°</t>
  </si>
  <si>
    <t>25°</t>
  </si>
  <si>
    <t>30°</t>
  </si>
  <si>
    <t>35°</t>
  </si>
  <si>
    <t>40°</t>
  </si>
  <si>
    <t>45°</t>
  </si>
  <si>
    <t>50°</t>
  </si>
  <si>
    <t>55°</t>
  </si>
  <si>
    <t>60°</t>
  </si>
  <si>
    <t>Tension at the highest midpoint position</t>
  </si>
  <si>
    <t xml:space="preserve">DRIFTING LOADS </t>
  </si>
  <si>
    <t>Load Weight =</t>
  </si>
  <si>
    <t>The tension on chainfall "A" =</t>
  </si>
  <si>
    <t>www.acratech.com</t>
  </si>
  <si>
    <t xml:space="preserve"> Phone: 800-992-0689 </t>
  </si>
  <si>
    <t>The tension on chainfall "B" =</t>
  </si>
  <si>
    <t xml:space="preserve">W = Load Weight </t>
  </si>
  <si>
    <t>R1 =</t>
  </si>
  <si>
    <t>R2 =</t>
  </si>
  <si>
    <t>H1 =</t>
  </si>
  <si>
    <t>H2 =</t>
  </si>
  <si>
    <t>Tension on L1 =</t>
  </si>
  <si>
    <t>Tension on L2 =</t>
  </si>
  <si>
    <t>(Distance)   L1 =</t>
  </si>
  <si>
    <t>(Distance)   L2 =</t>
  </si>
  <si>
    <t>Non-Symmetrical 2-leg calculations</t>
  </si>
  <si>
    <t>Non-Symmetrical Lift</t>
  </si>
  <si>
    <t>Tension on LEFT =</t>
  </si>
  <si>
    <t>Tension on RIGHT =</t>
  </si>
  <si>
    <t>LS (distance) =</t>
  </si>
  <si>
    <t>RS (distance) =</t>
  </si>
  <si>
    <t>D3 =</t>
  </si>
  <si>
    <t>Num</t>
  </si>
  <si>
    <t>size</t>
  </si>
  <si>
    <t>wallthick</t>
  </si>
  <si>
    <t>weight</t>
  </si>
  <si>
    <t>ID</t>
  </si>
  <si>
    <t>OD</t>
  </si>
  <si>
    <t>1/8 - Sch: 10S</t>
  </si>
  <si>
    <t>Based on ASME data</t>
  </si>
  <si>
    <t>1/8 - Sch: 40, Std, 40S</t>
  </si>
  <si>
    <t>1/8 - Sch: 80, XS, 80S</t>
  </si>
  <si>
    <t>Method #1 - Choose---&gt;</t>
  </si>
  <si>
    <t>1/4 - Sch: 10S</t>
  </si>
  <si>
    <t>1/4 - Sch: 40, Std, 40S</t>
  </si>
  <si>
    <t>1/4 - Sch: 80, XS, 80S</t>
  </si>
  <si>
    <t>Outside diameter</t>
  </si>
  <si>
    <t>3/8 - Sch: 10S</t>
  </si>
  <si>
    <t>Inside diameter</t>
  </si>
  <si>
    <t>3/8 - Sch: 40, Std, 40S</t>
  </si>
  <si>
    <t>Wall Thickness</t>
  </si>
  <si>
    <t>3/8 - Sch: 80, XS, 80S</t>
  </si>
  <si>
    <t>Weight per foot</t>
  </si>
  <si>
    <t>1/2 - Sch: 10S</t>
  </si>
  <si>
    <t>Material density (per Cu. Inch):</t>
  </si>
  <si>
    <t>in × lbf/ft</t>
  </si>
  <si>
    <t>d</t>
  </si>
  <si>
    <r>
      <t>t</t>
    </r>
    <r>
      <rPr>
        <b/>
        <i/>
        <vertAlign val="subscript"/>
        <sz val="10"/>
        <rFont val="Verdana"/>
        <family val="2"/>
      </rPr>
      <t>f</t>
    </r>
  </si>
  <si>
    <r>
      <t>t</t>
    </r>
    <r>
      <rPr>
        <b/>
        <i/>
        <vertAlign val="subscript"/>
        <sz val="10"/>
        <rFont val="Verdana"/>
        <family val="2"/>
      </rPr>
      <t>w</t>
    </r>
  </si>
  <si>
    <r>
      <t>(in</t>
    </r>
    <r>
      <rPr>
        <vertAlign val="superscript"/>
        <sz val="8"/>
        <rFont val="Verdana"/>
        <family val="2"/>
      </rPr>
      <t>2</t>
    </r>
    <r>
      <rPr>
        <sz val="8"/>
        <rFont val="Verdana"/>
        <family val="2"/>
      </rPr>
      <t>)</t>
    </r>
  </si>
  <si>
    <t>(in)</t>
  </si>
  <si>
    <t>S24 × 121</t>
  </si>
  <si>
    <t>S24 × 106</t>
  </si>
  <si>
    <t>S24 × 100</t>
  </si>
  <si>
    <t>S24 × 90</t>
  </si>
  <si>
    <t>S24 × 80</t>
  </si>
  <si>
    <t>S20 × 96</t>
  </si>
  <si>
    <t>S20 × 86</t>
  </si>
  <si>
    <t>S20 × 75</t>
  </si>
  <si>
    <t>S20 × 66</t>
  </si>
  <si>
    <t>S18 × 70</t>
  </si>
  <si>
    <t>S18 × 54.7</t>
  </si>
  <si>
    <t>S15 × 50</t>
  </si>
  <si>
    <t>S15 × 42.9</t>
  </si>
  <si>
    <t>S12 × 50</t>
  </si>
  <si>
    <t>S12 × 40.8</t>
  </si>
  <si>
    <t>S12 × 35</t>
  </si>
  <si>
    <t>S12 × 31.8</t>
  </si>
  <si>
    <t>S10 × 35</t>
  </si>
  <si>
    <t>S10 × 25.4</t>
  </si>
  <si>
    <t>S8 × 23</t>
  </si>
  <si>
    <t>S8 × 18.4</t>
  </si>
  <si>
    <t>S7 × 20</t>
  </si>
  <si>
    <t>S7 × 15.3</t>
  </si>
  <si>
    <t>S6 × 17.25</t>
  </si>
  <si>
    <t>S6 × 12.5</t>
  </si>
  <si>
    <t>S5 × 14.75</t>
  </si>
  <si>
    <t>S5 × 10</t>
  </si>
  <si>
    <t>S4 × 9.5</t>
  </si>
  <si>
    <t>S4 × 7.7</t>
  </si>
  <si>
    <t>S3 × 7.5</t>
  </si>
  <si>
    <t>S3 × 5.7</t>
  </si>
  <si>
    <t>w</t>
  </si>
  <si>
    <t>Steel S-type I-Beams</t>
  </si>
  <si>
    <t>(inches)</t>
  </si>
  <si>
    <r>
      <t>area (in</t>
    </r>
    <r>
      <rPr>
        <vertAlign val="superscript"/>
        <sz val="8"/>
        <rFont val="Verdana"/>
        <family val="2"/>
      </rPr>
      <t>2</t>
    </r>
    <r>
      <rPr>
        <sz val="8"/>
        <rFont val="Verdana"/>
        <family val="2"/>
      </rPr>
      <t>):</t>
    </r>
  </si>
  <si>
    <t>Length of Beam (in):</t>
  </si>
  <si>
    <t>Length of Beam (ft):</t>
  </si>
  <si>
    <t>Total (inches):</t>
  </si>
  <si>
    <t>Total Weight of Beam:</t>
  </si>
  <si>
    <t>tons (US)</t>
  </si>
  <si>
    <t>Steel Wide Flange I-Beams</t>
  </si>
  <si>
    <t>W27 × 178</t>
  </si>
  <si>
    <t>W27 × 161</t>
  </si>
  <si>
    <t>W27 × 146</t>
  </si>
  <si>
    <t>W27 × 114</t>
  </si>
  <si>
    <t>W27 × 102</t>
  </si>
  <si>
    <t>W27 × 94</t>
  </si>
  <si>
    <t>W27 × 84</t>
  </si>
  <si>
    <t>W24 × 162</t>
  </si>
  <si>
    <t>W24 × 146</t>
  </si>
  <si>
    <t>W24 × 131</t>
  </si>
  <si>
    <t>W24 × 117</t>
  </si>
  <si>
    <t>W24 × 104</t>
  </si>
  <si>
    <t>W24 × 94</t>
  </si>
  <si>
    <t>W24 × 84</t>
  </si>
  <si>
    <t>W24 × 76</t>
  </si>
  <si>
    <t>W24 × 68</t>
  </si>
  <si>
    <t>W24 × 62</t>
  </si>
  <si>
    <t>W24 × 55</t>
  </si>
  <si>
    <t>W21 × 147</t>
  </si>
  <si>
    <t>W21 × 132</t>
  </si>
  <si>
    <t>W21 × 122</t>
  </si>
  <si>
    <t>W21 × 111</t>
  </si>
  <si>
    <t>W21 × 101</t>
  </si>
  <si>
    <t>W21 × 93</t>
  </si>
  <si>
    <t>W21 × 83</t>
  </si>
  <si>
    <t>W21 × 73</t>
  </si>
  <si>
    <t>W21 × 68</t>
  </si>
  <si>
    <t>W21 × 62</t>
  </si>
  <si>
    <t>W21 × 57</t>
  </si>
  <si>
    <t>W21 × 50</t>
  </si>
  <si>
    <t>W21 × 44</t>
  </si>
  <si>
    <t>W18 × 119</t>
  </si>
  <si>
    <t>W18 × 106</t>
  </si>
  <si>
    <t>W18 × 97</t>
  </si>
  <si>
    <t>W18 × 86</t>
  </si>
  <si>
    <t>W18 × 76</t>
  </si>
  <si>
    <t>W18 × 71</t>
  </si>
  <si>
    <t>W18 × 65</t>
  </si>
  <si>
    <t>W18 × 60</t>
  </si>
  <si>
    <t>W18 × 55</t>
  </si>
  <si>
    <t>W18 × 50</t>
  </si>
  <si>
    <t>W18 × 46</t>
  </si>
  <si>
    <t>W18 × 40</t>
  </si>
  <si>
    <t>W18 × 35</t>
  </si>
  <si>
    <t>W16 × 100</t>
  </si>
  <si>
    <t>W16 × 89</t>
  </si>
  <si>
    <t>W16 × 77</t>
  </si>
  <si>
    <t>W16 × 67</t>
  </si>
  <si>
    <t>W16 × 57</t>
  </si>
  <si>
    <t>W16 × 50</t>
  </si>
  <si>
    <t>W16 × 45</t>
  </si>
  <si>
    <t>W16 × 40</t>
  </si>
  <si>
    <t>W16 × 36</t>
  </si>
  <si>
    <t>W16 × 31</t>
  </si>
  <si>
    <t>W16 × 26</t>
  </si>
  <si>
    <t>W14 × 730</t>
  </si>
  <si>
    <t>W14 × 665</t>
  </si>
  <si>
    <t>W14 × 605</t>
  </si>
  <si>
    <t>W14 × 550</t>
  </si>
  <si>
    <t>W14 × 500</t>
  </si>
  <si>
    <t>W14 × 455</t>
  </si>
  <si>
    <t>W14 × 426</t>
  </si>
  <si>
    <t>W14 × 398</t>
  </si>
  <si>
    <t>W14 × 370</t>
  </si>
  <si>
    <t>W14 × 342</t>
  </si>
  <si>
    <t>W14 × 311</t>
  </si>
  <si>
    <t>W14 × 283</t>
  </si>
  <si>
    <t>W14 × 257</t>
  </si>
  <si>
    <t>W14 × 233</t>
  </si>
  <si>
    <t>W14 × 211</t>
  </si>
  <si>
    <t>W14 × 193</t>
  </si>
  <si>
    <t>W14 × 176</t>
  </si>
  <si>
    <t>W14 × 159</t>
  </si>
  <si>
    <t>W14 × 145</t>
  </si>
  <si>
    <t>W14 × I32</t>
  </si>
  <si>
    <t>W14 × 120</t>
  </si>
  <si>
    <t>W14 × 109</t>
  </si>
  <si>
    <t>W14 × 99</t>
  </si>
  <si>
    <t>W14 × 90</t>
  </si>
  <si>
    <t>W14 × 82</t>
  </si>
  <si>
    <t>W14 × 74</t>
  </si>
  <si>
    <t>W14 × 68</t>
  </si>
  <si>
    <t>W14 × 61</t>
  </si>
  <si>
    <t>W14 × 53</t>
  </si>
  <si>
    <t>W14 × 48</t>
  </si>
  <si>
    <t>W14 × 43</t>
  </si>
  <si>
    <t>W14 × 38</t>
  </si>
  <si>
    <t>W14 × 34</t>
  </si>
  <si>
    <t>W14 × 30</t>
  </si>
  <si>
    <t>W14 × 26</t>
  </si>
  <si>
    <t>W14 × 22</t>
  </si>
  <si>
    <t>W12 × 336</t>
  </si>
  <si>
    <t>W12 × 305</t>
  </si>
  <si>
    <t>W12 × 279</t>
  </si>
  <si>
    <t>W12 × 252</t>
  </si>
  <si>
    <t>W12 × 230</t>
  </si>
  <si>
    <t>W12 × 210</t>
  </si>
  <si>
    <t>W12 × 190</t>
  </si>
  <si>
    <t>W12 × 170</t>
  </si>
  <si>
    <t>W12 × 152</t>
  </si>
  <si>
    <t>W12 × 136</t>
  </si>
  <si>
    <t>W12 × 120</t>
  </si>
  <si>
    <t>W12 × 106</t>
  </si>
  <si>
    <t>W12 × 96</t>
  </si>
  <si>
    <t>W12 × 87</t>
  </si>
  <si>
    <t>W12 × 79</t>
  </si>
  <si>
    <t>W12 × 72</t>
  </si>
  <si>
    <t>W12 × 65</t>
  </si>
  <si>
    <t>W12 × 58</t>
  </si>
  <si>
    <t>W12 × 53</t>
  </si>
  <si>
    <t>W12 × 50</t>
  </si>
  <si>
    <t>W12 × 45</t>
  </si>
  <si>
    <t>W12 × 40</t>
  </si>
  <si>
    <t>W12 × 35</t>
  </si>
  <si>
    <t>W12 × 30</t>
  </si>
  <si>
    <t>W12 × 26</t>
  </si>
  <si>
    <t>W12 × 22</t>
  </si>
  <si>
    <t>W12 × 19</t>
  </si>
  <si>
    <t>W12 × 16</t>
  </si>
  <si>
    <t>W12 × 14</t>
  </si>
  <si>
    <t>W10 × 112</t>
  </si>
  <si>
    <t>W10 × 100</t>
  </si>
  <si>
    <t>W10 × 88</t>
  </si>
  <si>
    <t>W10 × 77</t>
  </si>
  <si>
    <t>Material type:</t>
  </si>
  <si>
    <t>*</t>
  </si>
  <si>
    <t>* Sometimes it is very hard to measure the thickness of the shell, generally the flange dimension (B3) is very close to that of the entire casing.  This can be used when the actual thickness is impossible to obtain.</t>
  </si>
  <si>
    <t>Electric Motors</t>
  </si>
  <si>
    <t>info</t>
  </si>
  <si>
    <t>Pages; 68-71, 2nd edition</t>
  </si>
  <si>
    <t>See RS sizes and typical color codings</t>
  </si>
  <si>
    <t>See WEB sling shackles designed for these slings</t>
  </si>
  <si>
    <t>W10 × 68</t>
  </si>
  <si>
    <t>W10 × 60</t>
  </si>
  <si>
    <t>W10 × 54</t>
  </si>
  <si>
    <t>W10 × 49</t>
  </si>
  <si>
    <t>Distance between attachments:</t>
  </si>
  <si>
    <t>kgs</t>
  </si>
  <si>
    <t>W10 × 45</t>
  </si>
  <si>
    <t>W10 × 39</t>
  </si>
  <si>
    <t>W10 × 33</t>
  </si>
  <si>
    <t>W10 × 30</t>
  </si>
  <si>
    <t>W10 × 26</t>
  </si>
  <si>
    <t>W10 × 22</t>
  </si>
  <si>
    <t>W10 × 19</t>
  </si>
  <si>
    <t>W10 × 17</t>
  </si>
  <si>
    <t>W10 × 15</t>
  </si>
  <si>
    <t>W10 × 12</t>
  </si>
  <si>
    <t>W8 × 67</t>
  </si>
  <si>
    <t>W8 × 58</t>
  </si>
  <si>
    <t>W8 × 48</t>
  </si>
  <si>
    <t>W8 × 40</t>
  </si>
  <si>
    <t>W8 × 35</t>
  </si>
  <si>
    <t>W8 × 31</t>
  </si>
  <si>
    <t>W8 × 28</t>
  </si>
  <si>
    <t>W8 × 24</t>
  </si>
  <si>
    <t>W8 × 21</t>
  </si>
  <si>
    <t>W8 × 18</t>
  </si>
  <si>
    <t>W8 × 15</t>
  </si>
  <si>
    <t>W8 × 13</t>
  </si>
  <si>
    <t>W8 × 10</t>
  </si>
  <si>
    <t>W6 × 25</t>
  </si>
  <si>
    <t>W6 × 20</t>
  </si>
  <si>
    <t>W6 × 16</t>
  </si>
  <si>
    <t>W6 × 15</t>
  </si>
  <si>
    <t>W6 × 12</t>
  </si>
  <si>
    <t>W6 × 9</t>
  </si>
  <si>
    <t>W5 × 19</t>
  </si>
  <si>
    <t>W5 × 16</t>
  </si>
  <si>
    <t>W4 × 13</t>
  </si>
  <si>
    <t>Steel Channels</t>
  </si>
  <si>
    <t>C15 × 50</t>
  </si>
  <si>
    <t>C15 × 40</t>
  </si>
  <si>
    <t>C15 × 33.9</t>
  </si>
  <si>
    <t>C12 × 30</t>
  </si>
  <si>
    <t>C12 × 25</t>
  </si>
  <si>
    <t>C12 × 20.7</t>
  </si>
  <si>
    <t>C10 × 30</t>
  </si>
  <si>
    <t>C10 × 25</t>
  </si>
  <si>
    <t>C10 × 20</t>
  </si>
  <si>
    <t>ABOUT LIFTCALC</t>
  </si>
  <si>
    <t>LICENSE AGREEMENT</t>
  </si>
  <si>
    <t>BACK</t>
  </si>
  <si>
    <t>Scroll</t>
  </si>
  <si>
    <t>down</t>
  </si>
  <si>
    <t xml:space="preserve">for </t>
  </si>
  <si>
    <t xml:space="preserve">additional </t>
  </si>
  <si>
    <t>information</t>
  </si>
  <si>
    <t>BTH56A</t>
  </si>
  <si>
    <t>Use the TAB key to move between cells</t>
  </si>
  <si>
    <t>C10 × 15.3</t>
  </si>
  <si>
    <t>C9 × 20</t>
  </si>
  <si>
    <t>C9 × 15</t>
  </si>
  <si>
    <t>C9 × 13.4</t>
  </si>
  <si>
    <t>C8 × 18.75</t>
  </si>
  <si>
    <t>C8 × 13.75</t>
  </si>
  <si>
    <t>C8 × 11.5</t>
  </si>
  <si>
    <t>C7 × 14.75</t>
  </si>
  <si>
    <t>C7 × 12.25</t>
  </si>
  <si>
    <t>C7 × 9.8</t>
  </si>
  <si>
    <t>C6 × 13</t>
  </si>
  <si>
    <t>C6 × 10.5</t>
  </si>
  <si>
    <t>C6 × 8.2</t>
  </si>
  <si>
    <t>C5 × 9</t>
  </si>
  <si>
    <t>C5 × 6.7</t>
  </si>
  <si>
    <t>C4 × 7.25</t>
  </si>
  <si>
    <t>C4 × 5.4</t>
  </si>
  <si>
    <t>C3 × 6</t>
  </si>
  <si>
    <t>C3 × 5</t>
  </si>
  <si>
    <t>C3 × 4.1</t>
  </si>
  <si>
    <t>Steel Angles</t>
  </si>
  <si>
    <t>h</t>
  </si>
  <si>
    <t>t</t>
  </si>
  <si>
    <t>lb ft</t>
  </si>
  <si>
    <r>
      <t>a</t>
    </r>
    <r>
      <rPr>
        <b/>
        <sz val="10"/>
        <rFont val="Verdana"/>
        <family val="2"/>
      </rPr>
      <t>×</t>
    </r>
    <r>
      <rPr>
        <b/>
        <i/>
        <sz val="10"/>
        <rFont val="Verdana"/>
        <family val="2"/>
      </rPr>
      <t>b</t>
    </r>
    <r>
      <rPr>
        <b/>
        <sz val="10"/>
        <rFont val="Verdana"/>
        <family val="2"/>
      </rPr>
      <t>×Thickness</t>
    </r>
  </si>
  <si>
    <t>(in×in×in)</t>
  </si>
  <si>
    <r>
      <t>L8×8×1</t>
    </r>
    <r>
      <rPr>
        <vertAlign val="superscript"/>
        <sz val="10"/>
        <rFont val="Verdana"/>
        <family val="2"/>
      </rPr>
      <t>1</t>
    </r>
    <r>
      <rPr>
        <sz val="10"/>
        <rFont val="Verdana"/>
        <family val="2"/>
      </rPr>
      <t>/</t>
    </r>
    <r>
      <rPr>
        <vertAlign val="subscript"/>
        <sz val="10"/>
        <rFont val="Verdana"/>
        <family val="2"/>
      </rPr>
      <t>8</t>
    </r>
  </si>
  <si>
    <t>L8×8×1</t>
  </si>
  <si>
    <r>
      <t>L8×8×</t>
    </r>
    <r>
      <rPr>
        <vertAlign val="superscript"/>
        <sz val="10"/>
        <rFont val="Verdana"/>
        <family val="2"/>
      </rPr>
      <t>7</t>
    </r>
    <r>
      <rPr>
        <sz val="10"/>
        <rFont val="Verdana"/>
        <family val="2"/>
      </rPr>
      <t>/</t>
    </r>
    <r>
      <rPr>
        <vertAlign val="subscript"/>
        <sz val="10"/>
        <rFont val="Verdana"/>
        <family val="2"/>
      </rPr>
      <t>8</t>
    </r>
  </si>
  <si>
    <r>
      <t>L8×8×</t>
    </r>
    <r>
      <rPr>
        <vertAlign val="superscript"/>
        <sz val="10"/>
        <rFont val="Verdana"/>
        <family val="2"/>
      </rPr>
      <t>3</t>
    </r>
    <r>
      <rPr>
        <sz val="10"/>
        <rFont val="Verdana"/>
        <family val="2"/>
      </rPr>
      <t>/</t>
    </r>
    <r>
      <rPr>
        <vertAlign val="subscript"/>
        <sz val="10"/>
        <rFont val="Verdana"/>
        <family val="2"/>
      </rPr>
      <t>4</t>
    </r>
  </si>
  <si>
    <r>
      <t>L8×8×</t>
    </r>
    <r>
      <rPr>
        <vertAlign val="superscript"/>
        <sz val="10"/>
        <rFont val="Verdana"/>
        <family val="2"/>
      </rPr>
      <t>5</t>
    </r>
    <r>
      <rPr>
        <sz val="10"/>
        <rFont val="Verdana"/>
        <family val="2"/>
      </rPr>
      <t>/</t>
    </r>
    <r>
      <rPr>
        <vertAlign val="subscript"/>
        <sz val="10"/>
        <rFont val="Verdana"/>
        <family val="2"/>
      </rPr>
      <t>8</t>
    </r>
  </si>
  <si>
    <r>
      <t>L8×8×</t>
    </r>
    <r>
      <rPr>
        <vertAlign val="superscript"/>
        <sz val="10"/>
        <rFont val="Verdana"/>
        <family val="2"/>
      </rPr>
      <t>9</t>
    </r>
    <r>
      <rPr>
        <sz val="10"/>
        <rFont val="Verdana"/>
        <family val="2"/>
      </rPr>
      <t>/</t>
    </r>
    <r>
      <rPr>
        <vertAlign val="subscript"/>
        <sz val="10"/>
        <rFont val="Verdana"/>
        <family val="2"/>
      </rPr>
      <t>16</t>
    </r>
  </si>
  <si>
    <r>
      <t>L8×8×</t>
    </r>
    <r>
      <rPr>
        <vertAlign val="superscript"/>
        <sz val="10"/>
        <rFont val="Verdana"/>
        <family val="2"/>
      </rPr>
      <t>1</t>
    </r>
    <r>
      <rPr>
        <sz val="10"/>
        <rFont val="Verdana"/>
        <family val="2"/>
      </rPr>
      <t>/</t>
    </r>
    <r>
      <rPr>
        <vertAlign val="subscript"/>
        <sz val="10"/>
        <rFont val="Verdana"/>
        <family val="2"/>
      </rPr>
      <t>2</t>
    </r>
  </si>
  <si>
    <t>L6×6×1</t>
  </si>
  <si>
    <r>
      <t>L6×6×</t>
    </r>
    <r>
      <rPr>
        <vertAlign val="superscript"/>
        <sz val="10"/>
        <rFont val="Verdana"/>
        <family val="2"/>
      </rPr>
      <t>7</t>
    </r>
    <r>
      <rPr>
        <sz val="10"/>
        <rFont val="Verdana"/>
        <family val="2"/>
      </rPr>
      <t>/</t>
    </r>
    <r>
      <rPr>
        <vertAlign val="subscript"/>
        <sz val="10"/>
        <rFont val="Verdana"/>
        <family val="2"/>
      </rPr>
      <t>8</t>
    </r>
  </si>
  <si>
    <r>
      <t>L6×6×</t>
    </r>
    <r>
      <rPr>
        <vertAlign val="superscript"/>
        <sz val="10"/>
        <rFont val="Verdana"/>
        <family val="2"/>
      </rPr>
      <t>3</t>
    </r>
    <r>
      <rPr>
        <sz val="10"/>
        <rFont val="Verdana"/>
        <family val="2"/>
      </rPr>
      <t>/</t>
    </r>
    <r>
      <rPr>
        <vertAlign val="subscript"/>
        <sz val="10"/>
        <rFont val="Verdana"/>
        <family val="2"/>
      </rPr>
      <t>4</t>
    </r>
  </si>
  <si>
    <r>
      <t>L6×6×</t>
    </r>
    <r>
      <rPr>
        <vertAlign val="superscript"/>
        <sz val="10"/>
        <rFont val="Verdana"/>
        <family val="2"/>
      </rPr>
      <t>5</t>
    </r>
    <r>
      <rPr>
        <sz val="10"/>
        <rFont val="Verdana"/>
        <family val="2"/>
      </rPr>
      <t>/</t>
    </r>
    <r>
      <rPr>
        <vertAlign val="subscript"/>
        <sz val="10"/>
        <rFont val="Verdana"/>
        <family val="2"/>
      </rPr>
      <t>8</t>
    </r>
  </si>
  <si>
    <r>
      <t>L6×6×</t>
    </r>
    <r>
      <rPr>
        <vertAlign val="superscript"/>
        <sz val="10"/>
        <rFont val="Verdana"/>
        <family val="2"/>
      </rPr>
      <t>9</t>
    </r>
    <r>
      <rPr>
        <sz val="10"/>
        <rFont val="Verdana"/>
        <family val="2"/>
      </rPr>
      <t>/</t>
    </r>
    <r>
      <rPr>
        <vertAlign val="subscript"/>
        <sz val="10"/>
        <rFont val="Verdana"/>
        <family val="2"/>
      </rPr>
      <t>16</t>
    </r>
  </si>
  <si>
    <r>
      <t>L6×6×</t>
    </r>
    <r>
      <rPr>
        <vertAlign val="superscript"/>
        <sz val="10"/>
        <rFont val="Verdana"/>
        <family val="2"/>
      </rPr>
      <t>1</t>
    </r>
    <r>
      <rPr>
        <sz val="10"/>
        <rFont val="Verdana"/>
        <family val="2"/>
      </rPr>
      <t>/</t>
    </r>
    <r>
      <rPr>
        <vertAlign val="subscript"/>
        <sz val="10"/>
        <rFont val="Verdana"/>
        <family val="2"/>
      </rPr>
      <t>2</t>
    </r>
  </si>
  <si>
    <r>
      <t>L6×6×</t>
    </r>
    <r>
      <rPr>
        <vertAlign val="superscript"/>
        <sz val="10"/>
        <rFont val="Verdana"/>
        <family val="2"/>
      </rPr>
      <t>7</t>
    </r>
    <r>
      <rPr>
        <sz val="10"/>
        <rFont val="Verdana"/>
        <family val="2"/>
      </rPr>
      <t>/</t>
    </r>
    <r>
      <rPr>
        <vertAlign val="subscript"/>
        <sz val="10"/>
        <rFont val="Verdana"/>
        <family val="2"/>
      </rPr>
      <t>16</t>
    </r>
  </si>
  <si>
    <r>
      <t>L6×6×</t>
    </r>
    <r>
      <rPr>
        <vertAlign val="superscript"/>
        <sz val="10"/>
        <rFont val="Verdana"/>
        <family val="2"/>
      </rPr>
      <t>3</t>
    </r>
    <r>
      <rPr>
        <sz val="10"/>
        <rFont val="Verdana"/>
        <family val="2"/>
      </rPr>
      <t>/</t>
    </r>
    <r>
      <rPr>
        <vertAlign val="subscript"/>
        <sz val="10"/>
        <rFont val="Verdana"/>
        <family val="2"/>
      </rPr>
      <t>8</t>
    </r>
  </si>
  <si>
    <r>
      <t>L6×6×</t>
    </r>
    <r>
      <rPr>
        <vertAlign val="superscript"/>
        <sz val="10"/>
        <rFont val="Verdana"/>
        <family val="2"/>
      </rPr>
      <t>5</t>
    </r>
    <r>
      <rPr>
        <sz val="10"/>
        <rFont val="Verdana"/>
        <family val="2"/>
      </rPr>
      <t>/</t>
    </r>
    <r>
      <rPr>
        <vertAlign val="subscript"/>
        <sz val="10"/>
        <rFont val="Verdana"/>
        <family val="2"/>
      </rPr>
      <t>16</t>
    </r>
  </si>
  <si>
    <r>
      <t>L5×5×</t>
    </r>
    <r>
      <rPr>
        <vertAlign val="superscript"/>
        <sz val="10"/>
        <rFont val="Verdana"/>
        <family val="2"/>
      </rPr>
      <t>7</t>
    </r>
    <r>
      <rPr>
        <sz val="10"/>
        <rFont val="Verdana"/>
        <family val="2"/>
      </rPr>
      <t>/</t>
    </r>
    <r>
      <rPr>
        <vertAlign val="subscript"/>
        <sz val="10"/>
        <rFont val="Verdana"/>
        <family val="2"/>
      </rPr>
      <t>8</t>
    </r>
  </si>
  <si>
    <r>
      <t>L5×5×</t>
    </r>
    <r>
      <rPr>
        <vertAlign val="superscript"/>
        <sz val="10"/>
        <rFont val="Verdana"/>
        <family val="2"/>
      </rPr>
      <t>3</t>
    </r>
    <r>
      <rPr>
        <sz val="10"/>
        <rFont val="Verdana"/>
        <family val="2"/>
      </rPr>
      <t>/</t>
    </r>
    <r>
      <rPr>
        <vertAlign val="subscript"/>
        <sz val="10"/>
        <rFont val="Verdana"/>
        <family val="2"/>
      </rPr>
      <t>4</t>
    </r>
  </si>
  <si>
    <r>
      <t>L5×5×</t>
    </r>
    <r>
      <rPr>
        <vertAlign val="superscript"/>
        <sz val="10"/>
        <rFont val="Verdana"/>
        <family val="2"/>
      </rPr>
      <t>5</t>
    </r>
    <r>
      <rPr>
        <sz val="10"/>
        <rFont val="Verdana"/>
        <family val="2"/>
      </rPr>
      <t>/</t>
    </r>
    <r>
      <rPr>
        <vertAlign val="subscript"/>
        <sz val="10"/>
        <rFont val="Verdana"/>
        <family val="2"/>
      </rPr>
      <t>8</t>
    </r>
  </si>
  <si>
    <r>
      <t>L5×5×</t>
    </r>
    <r>
      <rPr>
        <vertAlign val="superscript"/>
        <sz val="10"/>
        <rFont val="Verdana"/>
        <family val="2"/>
      </rPr>
      <t>1</t>
    </r>
    <r>
      <rPr>
        <sz val="10"/>
        <rFont val="Verdana"/>
        <family val="2"/>
      </rPr>
      <t>/</t>
    </r>
    <r>
      <rPr>
        <vertAlign val="subscript"/>
        <sz val="10"/>
        <rFont val="Verdana"/>
        <family val="2"/>
      </rPr>
      <t>2</t>
    </r>
  </si>
  <si>
    <r>
      <t>L5×5×</t>
    </r>
    <r>
      <rPr>
        <vertAlign val="superscript"/>
        <sz val="10"/>
        <rFont val="Verdana"/>
        <family val="2"/>
      </rPr>
      <t>7</t>
    </r>
    <r>
      <rPr>
        <sz val="10"/>
        <rFont val="Verdana"/>
        <family val="2"/>
      </rPr>
      <t>/</t>
    </r>
    <r>
      <rPr>
        <vertAlign val="subscript"/>
        <sz val="10"/>
        <rFont val="Verdana"/>
        <family val="2"/>
      </rPr>
      <t>16</t>
    </r>
  </si>
  <si>
    <r>
      <t>L5×5×</t>
    </r>
    <r>
      <rPr>
        <vertAlign val="superscript"/>
        <sz val="10"/>
        <rFont val="Verdana"/>
        <family val="2"/>
      </rPr>
      <t>3</t>
    </r>
    <r>
      <rPr>
        <sz val="10"/>
        <rFont val="Verdana"/>
        <family val="2"/>
      </rPr>
      <t>/</t>
    </r>
    <r>
      <rPr>
        <vertAlign val="subscript"/>
        <sz val="10"/>
        <rFont val="Verdana"/>
        <family val="2"/>
      </rPr>
      <t>8</t>
    </r>
  </si>
  <si>
    <r>
      <t>L5×5×</t>
    </r>
    <r>
      <rPr>
        <vertAlign val="superscript"/>
        <sz val="10"/>
        <rFont val="Verdana"/>
        <family val="2"/>
      </rPr>
      <t>5</t>
    </r>
    <r>
      <rPr>
        <sz val="10"/>
        <rFont val="Verdana"/>
        <family val="2"/>
      </rPr>
      <t>/</t>
    </r>
    <r>
      <rPr>
        <vertAlign val="subscript"/>
        <sz val="10"/>
        <rFont val="Verdana"/>
        <family val="2"/>
      </rPr>
      <t>16</t>
    </r>
  </si>
  <si>
    <r>
      <t>L4×4×</t>
    </r>
    <r>
      <rPr>
        <vertAlign val="superscript"/>
        <sz val="10"/>
        <rFont val="Verdana"/>
        <family val="2"/>
      </rPr>
      <t>3</t>
    </r>
    <r>
      <rPr>
        <sz val="10"/>
        <rFont val="Verdana"/>
        <family val="2"/>
      </rPr>
      <t>/</t>
    </r>
    <r>
      <rPr>
        <vertAlign val="subscript"/>
        <sz val="10"/>
        <rFont val="Verdana"/>
        <family val="2"/>
      </rPr>
      <t>4</t>
    </r>
  </si>
  <si>
    <r>
      <t>L4×4×</t>
    </r>
    <r>
      <rPr>
        <vertAlign val="superscript"/>
        <sz val="10"/>
        <rFont val="Verdana"/>
        <family val="2"/>
      </rPr>
      <t>5</t>
    </r>
    <r>
      <rPr>
        <sz val="10"/>
        <rFont val="Verdana"/>
        <family val="2"/>
      </rPr>
      <t>/</t>
    </r>
    <r>
      <rPr>
        <vertAlign val="subscript"/>
        <sz val="10"/>
        <rFont val="Verdana"/>
        <family val="2"/>
      </rPr>
      <t>8</t>
    </r>
  </si>
  <si>
    <r>
      <t>L4×4×</t>
    </r>
    <r>
      <rPr>
        <vertAlign val="superscript"/>
        <sz val="10"/>
        <rFont val="Verdana"/>
        <family val="2"/>
      </rPr>
      <t>1</t>
    </r>
    <r>
      <rPr>
        <sz val="10"/>
        <rFont val="Verdana"/>
        <family val="2"/>
      </rPr>
      <t>/</t>
    </r>
    <r>
      <rPr>
        <vertAlign val="subscript"/>
        <sz val="10"/>
        <rFont val="Verdana"/>
        <family val="2"/>
      </rPr>
      <t>2</t>
    </r>
  </si>
  <si>
    <r>
      <t>L4×4×</t>
    </r>
    <r>
      <rPr>
        <vertAlign val="superscript"/>
        <sz val="10"/>
        <rFont val="Verdana"/>
        <family val="2"/>
      </rPr>
      <t>7</t>
    </r>
    <r>
      <rPr>
        <sz val="10"/>
        <rFont val="Verdana"/>
        <family val="2"/>
      </rPr>
      <t>/</t>
    </r>
    <r>
      <rPr>
        <vertAlign val="subscript"/>
        <sz val="10"/>
        <rFont val="Verdana"/>
        <family val="2"/>
      </rPr>
      <t>16</t>
    </r>
  </si>
  <si>
    <r>
      <t>L4×4×</t>
    </r>
    <r>
      <rPr>
        <vertAlign val="superscript"/>
        <sz val="10"/>
        <rFont val="Verdana"/>
        <family val="2"/>
      </rPr>
      <t>3</t>
    </r>
    <r>
      <rPr>
        <sz val="10"/>
        <rFont val="Verdana"/>
        <family val="2"/>
      </rPr>
      <t>/</t>
    </r>
    <r>
      <rPr>
        <vertAlign val="subscript"/>
        <sz val="10"/>
        <rFont val="Verdana"/>
        <family val="2"/>
      </rPr>
      <t>8</t>
    </r>
  </si>
  <si>
    <r>
      <t>L4×4×</t>
    </r>
    <r>
      <rPr>
        <vertAlign val="superscript"/>
        <sz val="10"/>
        <rFont val="Verdana"/>
        <family val="2"/>
      </rPr>
      <t>5</t>
    </r>
    <r>
      <rPr>
        <sz val="10"/>
        <rFont val="Verdana"/>
        <family val="2"/>
      </rPr>
      <t>/</t>
    </r>
    <r>
      <rPr>
        <vertAlign val="subscript"/>
        <sz val="10"/>
        <rFont val="Verdana"/>
        <family val="2"/>
      </rPr>
      <t>16</t>
    </r>
  </si>
  <si>
    <r>
      <t>L4×4×</t>
    </r>
    <r>
      <rPr>
        <vertAlign val="superscript"/>
        <sz val="10"/>
        <rFont val="Verdana"/>
        <family val="2"/>
      </rPr>
      <t>1</t>
    </r>
    <r>
      <rPr>
        <sz val="10"/>
        <rFont val="Verdana"/>
        <family val="2"/>
      </rPr>
      <t>/</t>
    </r>
    <r>
      <rPr>
        <vertAlign val="subscript"/>
        <sz val="10"/>
        <rFont val="Verdana"/>
        <family val="2"/>
      </rPr>
      <t>4</t>
    </r>
  </si>
  <si>
    <r>
      <t>L3</t>
    </r>
    <r>
      <rPr>
        <vertAlign val="superscript"/>
        <sz val="10"/>
        <rFont val="Verdana"/>
        <family val="2"/>
      </rPr>
      <t>1</t>
    </r>
    <r>
      <rPr>
        <sz val="10"/>
        <rFont val="Verdana"/>
        <family val="2"/>
      </rPr>
      <t>/</t>
    </r>
    <r>
      <rPr>
        <vertAlign val="subscript"/>
        <sz val="10"/>
        <rFont val="Verdana"/>
        <family val="2"/>
      </rPr>
      <t>2</t>
    </r>
    <r>
      <rPr>
        <sz val="10"/>
        <rFont val="Verdana"/>
        <family val="2"/>
      </rPr>
      <t>×3</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1</t>
    </r>
    <r>
      <rPr>
        <sz val="10"/>
        <rFont val="Verdana"/>
        <family val="2"/>
      </rPr>
      <t>/</t>
    </r>
    <r>
      <rPr>
        <vertAlign val="subscript"/>
        <sz val="10"/>
        <rFont val="Verdana"/>
        <family val="2"/>
      </rPr>
      <t>2</t>
    </r>
  </si>
  <si>
    <r>
      <t>L3</t>
    </r>
    <r>
      <rPr>
        <vertAlign val="superscript"/>
        <sz val="10"/>
        <rFont val="Verdana"/>
        <family val="2"/>
      </rPr>
      <t>1</t>
    </r>
    <r>
      <rPr>
        <sz val="10"/>
        <rFont val="Verdana"/>
        <family val="2"/>
      </rPr>
      <t>/</t>
    </r>
    <r>
      <rPr>
        <vertAlign val="subscript"/>
        <sz val="10"/>
        <rFont val="Verdana"/>
        <family val="2"/>
      </rPr>
      <t>2</t>
    </r>
    <r>
      <rPr>
        <sz val="10"/>
        <rFont val="Verdana"/>
        <family val="2"/>
      </rPr>
      <t>×3</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7</t>
    </r>
    <r>
      <rPr>
        <sz val="10"/>
        <rFont val="Verdana"/>
        <family val="2"/>
      </rPr>
      <t>/</t>
    </r>
    <r>
      <rPr>
        <vertAlign val="subscript"/>
        <sz val="10"/>
        <rFont val="Verdana"/>
        <family val="2"/>
      </rPr>
      <t>16</t>
    </r>
  </si>
  <si>
    <r>
      <t>L3</t>
    </r>
    <r>
      <rPr>
        <vertAlign val="superscript"/>
        <sz val="10"/>
        <rFont val="Verdana"/>
        <family val="2"/>
      </rPr>
      <t>1</t>
    </r>
    <r>
      <rPr>
        <sz val="10"/>
        <rFont val="Verdana"/>
        <family val="2"/>
      </rPr>
      <t>/</t>
    </r>
    <r>
      <rPr>
        <vertAlign val="subscript"/>
        <sz val="10"/>
        <rFont val="Verdana"/>
        <family val="2"/>
      </rPr>
      <t>2</t>
    </r>
    <r>
      <rPr>
        <sz val="10"/>
        <rFont val="Verdana"/>
        <family val="2"/>
      </rPr>
      <t>×3</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3</t>
    </r>
    <r>
      <rPr>
        <sz val="10"/>
        <rFont val="Verdana"/>
        <family val="2"/>
      </rPr>
      <t>/</t>
    </r>
    <r>
      <rPr>
        <vertAlign val="subscript"/>
        <sz val="10"/>
        <rFont val="Verdana"/>
        <family val="2"/>
      </rPr>
      <t>8</t>
    </r>
  </si>
  <si>
    <r>
      <t>L3</t>
    </r>
    <r>
      <rPr>
        <vertAlign val="superscript"/>
        <sz val="10"/>
        <rFont val="Verdana"/>
        <family val="2"/>
      </rPr>
      <t>1</t>
    </r>
    <r>
      <rPr>
        <sz val="10"/>
        <rFont val="Verdana"/>
        <family val="2"/>
      </rPr>
      <t>/</t>
    </r>
    <r>
      <rPr>
        <vertAlign val="subscript"/>
        <sz val="10"/>
        <rFont val="Verdana"/>
        <family val="2"/>
      </rPr>
      <t>2</t>
    </r>
    <r>
      <rPr>
        <sz val="10"/>
        <rFont val="Verdana"/>
        <family val="2"/>
      </rPr>
      <t>×3</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5</t>
    </r>
    <r>
      <rPr>
        <sz val="10"/>
        <rFont val="Verdana"/>
        <family val="2"/>
      </rPr>
      <t>/</t>
    </r>
    <r>
      <rPr>
        <vertAlign val="subscript"/>
        <sz val="10"/>
        <rFont val="Verdana"/>
        <family val="2"/>
      </rPr>
      <t>16</t>
    </r>
  </si>
  <si>
    <r>
      <t>L3</t>
    </r>
    <r>
      <rPr>
        <vertAlign val="superscript"/>
        <sz val="10"/>
        <rFont val="Verdana"/>
        <family val="2"/>
      </rPr>
      <t>1</t>
    </r>
    <r>
      <rPr>
        <sz val="10"/>
        <rFont val="Verdana"/>
        <family val="2"/>
      </rPr>
      <t>/</t>
    </r>
    <r>
      <rPr>
        <vertAlign val="subscript"/>
        <sz val="10"/>
        <rFont val="Verdana"/>
        <family val="2"/>
      </rPr>
      <t>2</t>
    </r>
    <r>
      <rPr>
        <sz val="10"/>
        <rFont val="Verdana"/>
        <family val="2"/>
      </rPr>
      <t>×3</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1</t>
    </r>
    <r>
      <rPr>
        <sz val="10"/>
        <rFont val="Verdana"/>
        <family val="2"/>
      </rPr>
      <t>/</t>
    </r>
    <r>
      <rPr>
        <vertAlign val="subscript"/>
        <sz val="10"/>
        <rFont val="Verdana"/>
        <family val="2"/>
      </rPr>
      <t>4</t>
    </r>
  </si>
  <si>
    <r>
      <t>L3×3×</t>
    </r>
    <r>
      <rPr>
        <vertAlign val="superscript"/>
        <sz val="10"/>
        <rFont val="Verdana"/>
        <family val="2"/>
      </rPr>
      <t>1</t>
    </r>
    <r>
      <rPr>
        <sz val="10"/>
        <rFont val="Verdana"/>
        <family val="2"/>
      </rPr>
      <t>/</t>
    </r>
    <r>
      <rPr>
        <vertAlign val="subscript"/>
        <sz val="10"/>
        <rFont val="Verdana"/>
        <family val="2"/>
      </rPr>
      <t>2</t>
    </r>
  </si>
  <si>
    <r>
      <t>L3×3×</t>
    </r>
    <r>
      <rPr>
        <vertAlign val="superscript"/>
        <sz val="10"/>
        <rFont val="Verdana"/>
        <family val="2"/>
      </rPr>
      <t>7</t>
    </r>
    <r>
      <rPr>
        <sz val="10"/>
        <rFont val="Verdana"/>
        <family val="2"/>
      </rPr>
      <t>/</t>
    </r>
    <r>
      <rPr>
        <vertAlign val="subscript"/>
        <sz val="10"/>
        <rFont val="Verdana"/>
        <family val="2"/>
      </rPr>
      <t>16</t>
    </r>
  </si>
  <si>
    <r>
      <t>L3×3×</t>
    </r>
    <r>
      <rPr>
        <vertAlign val="superscript"/>
        <sz val="10"/>
        <rFont val="Verdana"/>
        <family val="2"/>
      </rPr>
      <t>3</t>
    </r>
    <r>
      <rPr>
        <sz val="10"/>
        <rFont val="Verdana"/>
        <family val="2"/>
      </rPr>
      <t>/</t>
    </r>
    <r>
      <rPr>
        <vertAlign val="subscript"/>
        <sz val="10"/>
        <rFont val="Verdana"/>
        <family val="2"/>
      </rPr>
      <t>8</t>
    </r>
  </si>
  <si>
    <r>
      <t>L3×3×</t>
    </r>
    <r>
      <rPr>
        <vertAlign val="superscript"/>
        <sz val="10"/>
        <rFont val="Verdana"/>
        <family val="2"/>
      </rPr>
      <t>5</t>
    </r>
    <r>
      <rPr>
        <sz val="10"/>
        <rFont val="Verdana"/>
        <family val="2"/>
      </rPr>
      <t>/</t>
    </r>
    <r>
      <rPr>
        <vertAlign val="subscript"/>
        <sz val="10"/>
        <rFont val="Verdana"/>
        <family val="2"/>
      </rPr>
      <t>16</t>
    </r>
  </si>
  <si>
    <r>
      <t>L3×3×</t>
    </r>
    <r>
      <rPr>
        <vertAlign val="superscript"/>
        <sz val="10"/>
        <rFont val="Verdana"/>
        <family val="2"/>
      </rPr>
      <t>1</t>
    </r>
    <r>
      <rPr>
        <sz val="10"/>
        <rFont val="Verdana"/>
        <family val="2"/>
      </rPr>
      <t>/</t>
    </r>
    <r>
      <rPr>
        <vertAlign val="subscript"/>
        <sz val="10"/>
        <rFont val="Verdana"/>
        <family val="2"/>
      </rPr>
      <t>4</t>
    </r>
  </si>
  <si>
    <r>
      <t>L3×3×</t>
    </r>
    <r>
      <rPr>
        <vertAlign val="superscript"/>
        <sz val="10"/>
        <rFont val="Verdana"/>
        <family val="2"/>
      </rPr>
      <t>3</t>
    </r>
    <r>
      <rPr>
        <sz val="10"/>
        <rFont val="Verdana"/>
        <family val="2"/>
      </rPr>
      <t>/</t>
    </r>
    <r>
      <rPr>
        <vertAlign val="subscript"/>
        <sz val="10"/>
        <rFont val="Verdana"/>
        <family val="2"/>
      </rPr>
      <t>16</t>
    </r>
  </si>
  <si>
    <r>
      <t>L2</t>
    </r>
    <r>
      <rPr>
        <vertAlign val="superscript"/>
        <sz val="10"/>
        <rFont val="Verdana"/>
        <family val="2"/>
      </rPr>
      <t>1</t>
    </r>
    <r>
      <rPr>
        <sz val="10"/>
        <rFont val="Verdana"/>
        <family val="2"/>
      </rPr>
      <t>/</t>
    </r>
    <r>
      <rPr>
        <vertAlign val="subscript"/>
        <sz val="10"/>
        <rFont val="Verdana"/>
        <family val="2"/>
      </rPr>
      <t>2</t>
    </r>
    <r>
      <rPr>
        <sz val="10"/>
        <rFont val="Verdana"/>
        <family val="2"/>
      </rPr>
      <t>×2</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1</t>
    </r>
    <r>
      <rPr>
        <sz val="10"/>
        <rFont val="Verdana"/>
        <family val="2"/>
      </rPr>
      <t>/</t>
    </r>
    <r>
      <rPr>
        <vertAlign val="subscript"/>
        <sz val="10"/>
        <rFont val="Verdana"/>
        <family val="2"/>
      </rPr>
      <t>2</t>
    </r>
  </si>
  <si>
    <r>
      <t>L2</t>
    </r>
    <r>
      <rPr>
        <vertAlign val="superscript"/>
        <sz val="10"/>
        <rFont val="Verdana"/>
        <family val="2"/>
      </rPr>
      <t>1</t>
    </r>
    <r>
      <rPr>
        <sz val="10"/>
        <rFont val="Verdana"/>
        <family val="2"/>
      </rPr>
      <t>/</t>
    </r>
    <r>
      <rPr>
        <vertAlign val="subscript"/>
        <sz val="10"/>
        <rFont val="Verdana"/>
        <family val="2"/>
      </rPr>
      <t>2</t>
    </r>
    <r>
      <rPr>
        <sz val="10"/>
        <rFont val="Verdana"/>
        <family val="2"/>
      </rPr>
      <t>×2</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3</t>
    </r>
    <r>
      <rPr>
        <sz val="10"/>
        <rFont val="Verdana"/>
        <family val="2"/>
      </rPr>
      <t>/</t>
    </r>
    <r>
      <rPr>
        <vertAlign val="subscript"/>
        <sz val="10"/>
        <rFont val="Verdana"/>
        <family val="2"/>
      </rPr>
      <t>8</t>
    </r>
  </si>
  <si>
    <r>
      <t>L2</t>
    </r>
    <r>
      <rPr>
        <vertAlign val="superscript"/>
        <sz val="10"/>
        <rFont val="Verdana"/>
        <family val="2"/>
      </rPr>
      <t>1</t>
    </r>
    <r>
      <rPr>
        <sz val="10"/>
        <rFont val="Verdana"/>
        <family val="2"/>
      </rPr>
      <t>/</t>
    </r>
    <r>
      <rPr>
        <vertAlign val="subscript"/>
        <sz val="10"/>
        <rFont val="Verdana"/>
        <family val="2"/>
      </rPr>
      <t>2</t>
    </r>
    <r>
      <rPr>
        <sz val="10"/>
        <rFont val="Verdana"/>
        <family val="2"/>
      </rPr>
      <t>×2</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5</t>
    </r>
    <r>
      <rPr>
        <sz val="10"/>
        <rFont val="Verdana"/>
        <family val="2"/>
      </rPr>
      <t>/</t>
    </r>
    <r>
      <rPr>
        <vertAlign val="subscript"/>
        <sz val="10"/>
        <rFont val="Verdana"/>
        <family val="2"/>
      </rPr>
      <t>16</t>
    </r>
  </si>
  <si>
    <r>
      <t>L2</t>
    </r>
    <r>
      <rPr>
        <vertAlign val="superscript"/>
        <sz val="10"/>
        <rFont val="Verdana"/>
        <family val="2"/>
      </rPr>
      <t>1</t>
    </r>
    <r>
      <rPr>
        <sz val="10"/>
        <rFont val="Verdana"/>
        <family val="2"/>
      </rPr>
      <t>/</t>
    </r>
    <r>
      <rPr>
        <vertAlign val="subscript"/>
        <sz val="10"/>
        <rFont val="Verdana"/>
        <family val="2"/>
      </rPr>
      <t>2</t>
    </r>
    <r>
      <rPr>
        <sz val="10"/>
        <rFont val="Verdana"/>
        <family val="2"/>
      </rPr>
      <t>×2</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1</t>
    </r>
    <r>
      <rPr>
        <sz val="10"/>
        <rFont val="Verdana"/>
        <family val="2"/>
      </rPr>
      <t>/</t>
    </r>
    <r>
      <rPr>
        <vertAlign val="subscript"/>
        <sz val="10"/>
        <rFont val="Verdana"/>
        <family val="2"/>
      </rPr>
      <t>4</t>
    </r>
  </si>
  <si>
    <r>
      <t>L2</t>
    </r>
    <r>
      <rPr>
        <vertAlign val="superscript"/>
        <sz val="10"/>
        <rFont val="Verdana"/>
        <family val="2"/>
      </rPr>
      <t>1</t>
    </r>
    <r>
      <rPr>
        <sz val="10"/>
        <rFont val="Verdana"/>
        <family val="2"/>
      </rPr>
      <t>/</t>
    </r>
    <r>
      <rPr>
        <vertAlign val="subscript"/>
        <sz val="10"/>
        <rFont val="Verdana"/>
        <family val="2"/>
      </rPr>
      <t>2</t>
    </r>
    <r>
      <rPr>
        <sz val="10"/>
        <rFont val="Verdana"/>
        <family val="2"/>
      </rPr>
      <t>×2</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3</t>
    </r>
    <r>
      <rPr>
        <sz val="10"/>
        <rFont val="Verdana"/>
        <family val="2"/>
      </rPr>
      <t>/</t>
    </r>
    <r>
      <rPr>
        <vertAlign val="subscript"/>
        <sz val="10"/>
        <rFont val="Verdana"/>
        <family val="2"/>
      </rPr>
      <t>16</t>
    </r>
  </si>
  <si>
    <r>
      <t>L2×2×</t>
    </r>
    <r>
      <rPr>
        <vertAlign val="superscript"/>
        <sz val="10"/>
        <rFont val="Verdana"/>
        <family val="2"/>
      </rPr>
      <t>3</t>
    </r>
    <r>
      <rPr>
        <sz val="10"/>
        <rFont val="Verdana"/>
        <family val="2"/>
      </rPr>
      <t>/</t>
    </r>
    <r>
      <rPr>
        <vertAlign val="subscript"/>
        <sz val="10"/>
        <rFont val="Verdana"/>
        <family val="2"/>
      </rPr>
      <t>8</t>
    </r>
  </si>
  <si>
    <r>
      <t>L2×2×</t>
    </r>
    <r>
      <rPr>
        <vertAlign val="superscript"/>
        <sz val="10"/>
        <rFont val="Verdana"/>
        <family val="2"/>
      </rPr>
      <t>5</t>
    </r>
    <r>
      <rPr>
        <sz val="10"/>
        <rFont val="Verdana"/>
        <family val="2"/>
      </rPr>
      <t>/</t>
    </r>
    <r>
      <rPr>
        <vertAlign val="subscript"/>
        <sz val="10"/>
        <rFont val="Verdana"/>
        <family val="2"/>
      </rPr>
      <t>16</t>
    </r>
  </si>
  <si>
    <r>
      <t>L2×2×</t>
    </r>
    <r>
      <rPr>
        <vertAlign val="superscript"/>
        <sz val="10"/>
        <rFont val="Verdana"/>
        <family val="2"/>
      </rPr>
      <t>1</t>
    </r>
    <r>
      <rPr>
        <sz val="10"/>
        <rFont val="Verdana"/>
        <family val="2"/>
      </rPr>
      <t>/</t>
    </r>
    <r>
      <rPr>
        <vertAlign val="subscript"/>
        <sz val="10"/>
        <rFont val="Verdana"/>
        <family val="2"/>
      </rPr>
      <t>4</t>
    </r>
  </si>
  <si>
    <r>
      <t>L2×2×</t>
    </r>
    <r>
      <rPr>
        <vertAlign val="superscript"/>
        <sz val="10"/>
        <rFont val="Verdana"/>
        <family val="2"/>
      </rPr>
      <t>3</t>
    </r>
    <r>
      <rPr>
        <sz val="10"/>
        <rFont val="Verdana"/>
        <family val="2"/>
      </rPr>
      <t>/</t>
    </r>
    <r>
      <rPr>
        <vertAlign val="subscript"/>
        <sz val="10"/>
        <rFont val="Verdana"/>
        <family val="2"/>
      </rPr>
      <t>16</t>
    </r>
  </si>
  <si>
    <r>
      <t>L2×2×</t>
    </r>
    <r>
      <rPr>
        <vertAlign val="superscript"/>
        <sz val="10"/>
        <rFont val="Verdana"/>
        <family val="2"/>
      </rPr>
      <t>1</t>
    </r>
    <r>
      <rPr>
        <sz val="10"/>
        <rFont val="Verdana"/>
        <family val="2"/>
      </rPr>
      <t>/</t>
    </r>
    <r>
      <rPr>
        <vertAlign val="subscript"/>
        <sz val="10"/>
        <rFont val="Verdana"/>
        <family val="2"/>
      </rPr>
      <t>8</t>
    </r>
  </si>
  <si>
    <r>
      <t>L9×4×</t>
    </r>
    <r>
      <rPr>
        <vertAlign val="superscript"/>
        <sz val="10"/>
        <rFont val="Verdana"/>
        <family val="2"/>
      </rPr>
      <t>5</t>
    </r>
    <r>
      <rPr>
        <sz val="10"/>
        <rFont val="Verdana"/>
        <family val="2"/>
      </rPr>
      <t>/</t>
    </r>
    <r>
      <rPr>
        <vertAlign val="subscript"/>
        <sz val="10"/>
        <rFont val="Verdana"/>
        <family val="2"/>
      </rPr>
      <t>8</t>
    </r>
  </si>
  <si>
    <r>
      <t>L9×4×</t>
    </r>
    <r>
      <rPr>
        <vertAlign val="superscript"/>
        <sz val="10"/>
        <rFont val="Verdana"/>
        <family val="2"/>
      </rPr>
      <t>9</t>
    </r>
    <r>
      <rPr>
        <sz val="10"/>
        <rFont val="Verdana"/>
        <family val="2"/>
      </rPr>
      <t>/</t>
    </r>
    <r>
      <rPr>
        <vertAlign val="subscript"/>
        <sz val="10"/>
        <rFont val="Verdana"/>
        <family val="2"/>
      </rPr>
      <t>16</t>
    </r>
  </si>
  <si>
    <r>
      <t>L9×4×</t>
    </r>
    <r>
      <rPr>
        <vertAlign val="superscript"/>
        <sz val="10"/>
        <rFont val="Verdana"/>
        <family val="2"/>
      </rPr>
      <t>1</t>
    </r>
    <r>
      <rPr>
        <sz val="10"/>
        <rFont val="Verdana"/>
        <family val="2"/>
      </rPr>
      <t>/</t>
    </r>
    <r>
      <rPr>
        <vertAlign val="subscript"/>
        <sz val="10"/>
        <rFont val="Verdana"/>
        <family val="2"/>
      </rPr>
      <t>2</t>
    </r>
  </si>
  <si>
    <t>L8×6×1</t>
  </si>
  <si>
    <r>
      <t>L8×6×</t>
    </r>
    <r>
      <rPr>
        <vertAlign val="superscript"/>
        <sz val="10"/>
        <rFont val="Verdana"/>
        <family val="2"/>
      </rPr>
      <t>7</t>
    </r>
    <r>
      <rPr>
        <sz val="10"/>
        <rFont val="Verdana"/>
        <family val="2"/>
      </rPr>
      <t>/</t>
    </r>
    <r>
      <rPr>
        <vertAlign val="subscript"/>
        <sz val="10"/>
        <rFont val="Verdana"/>
        <family val="2"/>
      </rPr>
      <t>8</t>
    </r>
  </si>
  <si>
    <r>
      <t>L8×6×</t>
    </r>
    <r>
      <rPr>
        <vertAlign val="superscript"/>
        <sz val="10"/>
        <rFont val="Verdana"/>
        <family val="2"/>
      </rPr>
      <t>3</t>
    </r>
    <r>
      <rPr>
        <sz val="10"/>
        <rFont val="Verdana"/>
        <family val="2"/>
      </rPr>
      <t>/</t>
    </r>
    <r>
      <rPr>
        <vertAlign val="subscript"/>
        <sz val="10"/>
        <rFont val="Verdana"/>
        <family val="2"/>
      </rPr>
      <t>4</t>
    </r>
  </si>
  <si>
    <r>
      <t>L8×6×</t>
    </r>
    <r>
      <rPr>
        <vertAlign val="superscript"/>
        <sz val="10"/>
        <rFont val="Verdana"/>
        <family val="2"/>
      </rPr>
      <t>5</t>
    </r>
    <r>
      <rPr>
        <sz val="10"/>
        <rFont val="Verdana"/>
        <family val="2"/>
      </rPr>
      <t>/</t>
    </r>
    <r>
      <rPr>
        <vertAlign val="subscript"/>
        <sz val="10"/>
        <rFont val="Verdana"/>
        <family val="2"/>
      </rPr>
      <t>8</t>
    </r>
  </si>
  <si>
    <r>
      <t>L8×6×</t>
    </r>
    <r>
      <rPr>
        <vertAlign val="superscript"/>
        <sz val="10"/>
        <rFont val="Verdana"/>
        <family val="2"/>
      </rPr>
      <t>9</t>
    </r>
    <r>
      <rPr>
        <sz val="10"/>
        <rFont val="Verdana"/>
        <family val="2"/>
      </rPr>
      <t>/</t>
    </r>
    <r>
      <rPr>
        <vertAlign val="subscript"/>
        <sz val="10"/>
        <rFont val="Verdana"/>
        <family val="2"/>
      </rPr>
      <t>16</t>
    </r>
  </si>
  <si>
    <r>
      <t>L8×6×</t>
    </r>
    <r>
      <rPr>
        <vertAlign val="superscript"/>
        <sz val="10"/>
        <rFont val="Verdana"/>
        <family val="2"/>
      </rPr>
      <t>1</t>
    </r>
    <r>
      <rPr>
        <sz val="10"/>
        <rFont val="Verdana"/>
        <family val="2"/>
      </rPr>
      <t>/</t>
    </r>
    <r>
      <rPr>
        <vertAlign val="subscript"/>
        <sz val="10"/>
        <rFont val="Verdana"/>
        <family val="2"/>
      </rPr>
      <t>2</t>
    </r>
  </si>
  <si>
    <r>
      <t>L8×6×</t>
    </r>
    <r>
      <rPr>
        <vertAlign val="superscript"/>
        <sz val="10"/>
        <rFont val="Verdana"/>
        <family val="2"/>
      </rPr>
      <t>7</t>
    </r>
    <r>
      <rPr>
        <sz val="10"/>
        <rFont val="Verdana"/>
        <family val="2"/>
      </rPr>
      <t>/</t>
    </r>
    <r>
      <rPr>
        <vertAlign val="subscript"/>
        <sz val="10"/>
        <rFont val="Verdana"/>
        <family val="2"/>
      </rPr>
      <t>16</t>
    </r>
  </si>
  <si>
    <t>L8×4×1</t>
  </si>
  <si>
    <r>
      <t>L8×4×</t>
    </r>
    <r>
      <rPr>
        <vertAlign val="superscript"/>
        <sz val="10"/>
        <rFont val="Verdana"/>
        <family val="2"/>
      </rPr>
      <t>3</t>
    </r>
    <r>
      <rPr>
        <sz val="10"/>
        <rFont val="Verdana"/>
        <family val="2"/>
      </rPr>
      <t>/</t>
    </r>
    <r>
      <rPr>
        <vertAlign val="subscript"/>
        <sz val="10"/>
        <rFont val="Verdana"/>
        <family val="2"/>
      </rPr>
      <t>4</t>
    </r>
  </si>
  <si>
    <r>
      <t>L8×4×</t>
    </r>
    <r>
      <rPr>
        <vertAlign val="superscript"/>
        <sz val="10"/>
        <rFont val="Verdana"/>
        <family val="2"/>
      </rPr>
      <t>9</t>
    </r>
    <r>
      <rPr>
        <sz val="10"/>
        <rFont val="Verdana"/>
        <family val="2"/>
      </rPr>
      <t>/</t>
    </r>
    <r>
      <rPr>
        <vertAlign val="subscript"/>
        <sz val="10"/>
        <rFont val="Verdana"/>
        <family val="2"/>
      </rPr>
      <t>16</t>
    </r>
  </si>
  <si>
    <r>
      <t>L8×4×</t>
    </r>
    <r>
      <rPr>
        <vertAlign val="superscript"/>
        <sz val="10"/>
        <rFont val="Verdana"/>
        <family val="2"/>
      </rPr>
      <t>1</t>
    </r>
    <r>
      <rPr>
        <sz val="10"/>
        <rFont val="Verdana"/>
        <family val="2"/>
      </rPr>
      <t>/</t>
    </r>
    <r>
      <rPr>
        <vertAlign val="subscript"/>
        <sz val="10"/>
        <rFont val="Verdana"/>
        <family val="2"/>
      </rPr>
      <t>2</t>
    </r>
  </si>
  <si>
    <t>Find the Adjacent and the angle (from horizontal )</t>
  </si>
  <si>
    <t>Find the Opposite and the angle (from horizontal )</t>
  </si>
  <si>
    <t>Find the Hypotenuse and the angle (from horizontal )</t>
  </si>
  <si>
    <r>
      <t>L7×4×</t>
    </r>
    <r>
      <rPr>
        <vertAlign val="superscript"/>
        <sz val="10"/>
        <rFont val="Verdana"/>
        <family val="2"/>
      </rPr>
      <t>3</t>
    </r>
    <r>
      <rPr>
        <sz val="10"/>
        <rFont val="Verdana"/>
        <family val="2"/>
      </rPr>
      <t>/</t>
    </r>
    <r>
      <rPr>
        <vertAlign val="subscript"/>
        <sz val="10"/>
        <rFont val="Verdana"/>
        <family val="2"/>
      </rPr>
      <t>4</t>
    </r>
  </si>
  <si>
    <r>
      <t>L7×4×</t>
    </r>
    <r>
      <rPr>
        <vertAlign val="superscript"/>
        <sz val="10"/>
        <rFont val="Verdana"/>
        <family val="2"/>
      </rPr>
      <t>5</t>
    </r>
    <r>
      <rPr>
        <sz val="10"/>
        <rFont val="Verdana"/>
        <family val="2"/>
      </rPr>
      <t>/</t>
    </r>
    <r>
      <rPr>
        <vertAlign val="subscript"/>
        <sz val="10"/>
        <rFont val="Verdana"/>
        <family val="2"/>
      </rPr>
      <t>8</t>
    </r>
  </si>
  <si>
    <r>
      <t>L7×4×</t>
    </r>
    <r>
      <rPr>
        <vertAlign val="superscript"/>
        <sz val="10"/>
        <rFont val="Verdana"/>
        <family val="2"/>
      </rPr>
      <t>1</t>
    </r>
    <r>
      <rPr>
        <sz val="10"/>
        <rFont val="Verdana"/>
        <family val="2"/>
      </rPr>
      <t>/</t>
    </r>
    <r>
      <rPr>
        <vertAlign val="subscript"/>
        <sz val="10"/>
        <rFont val="Verdana"/>
        <family val="2"/>
      </rPr>
      <t>2</t>
    </r>
  </si>
  <si>
    <r>
      <t>L7×4×</t>
    </r>
    <r>
      <rPr>
        <vertAlign val="superscript"/>
        <sz val="10"/>
        <rFont val="Verdana"/>
        <family val="2"/>
      </rPr>
      <t>3</t>
    </r>
    <r>
      <rPr>
        <sz val="10"/>
        <rFont val="Verdana"/>
        <family val="2"/>
      </rPr>
      <t>/</t>
    </r>
    <r>
      <rPr>
        <vertAlign val="subscript"/>
        <sz val="10"/>
        <rFont val="Verdana"/>
        <family val="2"/>
      </rPr>
      <t>8</t>
    </r>
  </si>
  <si>
    <r>
      <t>L6×4×</t>
    </r>
    <r>
      <rPr>
        <vertAlign val="superscript"/>
        <sz val="10"/>
        <rFont val="Verdana"/>
        <family val="2"/>
      </rPr>
      <t>7</t>
    </r>
    <r>
      <rPr>
        <sz val="10"/>
        <rFont val="Verdana"/>
        <family val="2"/>
      </rPr>
      <t>/</t>
    </r>
    <r>
      <rPr>
        <vertAlign val="subscript"/>
        <sz val="10"/>
        <rFont val="Verdana"/>
        <family val="2"/>
      </rPr>
      <t>8</t>
    </r>
  </si>
  <si>
    <r>
      <t>L6×4×</t>
    </r>
    <r>
      <rPr>
        <vertAlign val="superscript"/>
        <sz val="10"/>
        <rFont val="Verdana"/>
        <family val="2"/>
      </rPr>
      <t>3</t>
    </r>
    <r>
      <rPr>
        <sz val="10"/>
        <rFont val="Verdana"/>
        <family val="2"/>
      </rPr>
      <t>/</t>
    </r>
    <r>
      <rPr>
        <vertAlign val="subscript"/>
        <sz val="10"/>
        <rFont val="Verdana"/>
        <family val="2"/>
      </rPr>
      <t>4</t>
    </r>
  </si>
  <si>
    <r>
      <t>L6×4×</t>
    </r>
    <r>
      <rPr>
        <vertAlign val="superscript"/>
        <sz val="10"/>
        <rFont val="Verdana"/>
        <family val="2"/>
      </rPr>
      <t>5</t>
    </r>
    <r>
      <rPr>
        <sz val="10"/>
        <rFont val="Verdana"/>
        <family val="2"/>
      </rPr>
      <t>/</t>
    </r>
    <r>
      <rPr>
        <vertAlign val="subscript"/>
        <sz val="10"/>
        <rFont val="Verdana"/>
        <family val="2"/>
      </rPr>
      <t>8</t>
    </r>
  </si>
  <si>
    <r>
      <t>L6×4×</t>
    </r>
    <r>
      <rPr>
        <vertAlign val="superscript"/>
        <sz val="10"/>
        <rFont val="Verdana"/>
        <family val="2"/>
      </rPr>
      <t>9</t>
    </r>
    <r>
      <rPr>
        <sz val="10"/>
        <rFont val="Verdana"/>
        <family val="2"/>
      </rPr>
      <t>/</t>
    </r>
    <r>
      <rPr>
        <vertAlign val="subscript"/>
        <sz val="10"/>
        <rFont val="Verdana"/>
        <family val="2"/>
      </rPr>
      <t>16</t>
    </r>
  </si>
  <si>
    <r>
      <t>L6×4×</t>
    </r>
    <r>
      <rPr>
        <vertAlign val="superscript"/>
        <sz val="10"/>
        <rFont val="Verdana"/>
        <family val="2"/>
      </rPr>
      <t>1</t>
    </r>
    <r>
      <rPr>
        <sz val="10"/>
        <rFont val="Verdana"/>
        <family val="2"/>
      </rPr>
      <t>/</t>
    </r>
    <r>
      <rPr>
        <vertAlign val="subscript"/>
        <sz val="10"/>
        <rFont val="Verdana"/>
        <family val="2"/>
      </rPr>
      <t>2</t>
    </r>
  </si>
  <si>
    <r>
      <t>L6×4×</t>
    </r>
    <r>
      <rPr>
        <vertAlign val="superscript"/>
        <sz val="10"/>
        <rFont val="Verdana"/>
        <family val="2"/>
      </rPr>
      <t>7</t>
    </r>
    <r>
      <rPr>
        <sz val="10"/>
        <rFont val="Verdana"/>
        <family val="2"/>
      </rPr>
      <t>/</t>
    </r>
    <r>
      <rPr>
        <vertAlign val="subscript"/>
        <sz val="10"/>
        <rFont val="Verdana"/>
        <family val="2"/>
      </rPr>
      <t>16</t>
    </r>
  </si>
  <si>
    <r>
      <t>L6×4×</t>
    </r>
    <r>
      <rPr>
        <vertAlign val="superscript"/>
        <sz val="10"/>
        <rFont val="Verdana"/>
        <family val="2"/>
      </rPr>
      <t>3</t>
    </r>
    <r>
      <rPr>
        <sz val="10"/>
        <rFont val="Verdana"/>
        <family val="2"/>
      </rPr>
      <t>/</t>
    </r>
    <r>
      <rPr>
        <vertAlign val="subscript"/>
        <sz val="10"/>
        <rFont val="Verdana"/>
        <family val="2"/>
      </rPr>
      <t>8</t>
    </r>
  </si>
  <si>
    <r>
      <t>L6×4×</t>
    </r>
    <r>
      <rPr>
        <vertAlign val="superscript"/>
        <sz val="10"/>
        <rFont val="Verdana"/>
        <family val="2"/>
      </rPr>
      <t>5</t>
    </r>
    <r>
      <rPr>
        <sz val="10"/>
        <rFont val="Verdana"/>
        <family val="2"/>
      </rPr>
      <t>/</t>
    </r>
    <r>
      <rPr>
        <vertAlign val="subscript"/>
        <sz val="10"/>
        <rFont val="Verdana"/>
        <family val="2"/>
      </rPr>
      <t>16</t>
    </r>
  </si>
  <si>
    <r>
      <t>L6×3</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1</t>
    </r>
    <r>
      <rPr>
        <sz val="10"/>
        <rFont val="Verdana"/>
        <family val="2"/>
      </rPr>
      <t>/</t>
    </r>
    <r>
      <rPr>
        <vertAlign val="subscript"/>
        <sz val="10"/>
        <rFont val="Verdana"/>
        <family val="2"/>
      </rPr>
      <t>2</t>
    </r>
  </si>
  <si>
    <r>
      <t>L6×3</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3</t>
    </r>
    <r>
      <rPr>
        <sz val="10"/>
        <rFont val="Verdana"/>
        <family val="2"/>
      </rPr>
      <t>/</t>
    </r>
    <r>
      <rPr>
        <vertAlign val="subscript"/>
        <sz val="10"/>
        <rFont val="Verdana"/>
        <family val="2"/>
      </rPr>
      <t>8</t>
    </r>
  </si>
  <si>
    <r>
      <t>L6×3</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5</t>
    </r>
    <r>
      <rPr>
        <sz val="10"/>
        <rFont val="Verdana"/>
        <family val="2"/>
      </rPr>
      <t>/</t>
    </r>
    <r>
      <rPr>
        <vertAlign val="subscript"/>
        <sz val="10"/>
        <rFont val="Verdana"/>
        <family val="2"/>
      </rPr>
      <t>16</t>
    </r>
  </si>
  <si>
    <r>
      <t>L5×3</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3</t>
    </r>
    <r>
      <rPr>
        <sz val="10"/>
        <rFont val="Verdana"/>
        <family val="2"/>
      </rPr>
      <t>/</t>
    </r>
    <r>
      <rPr>
        <vertAlign val="subscript"/>
        <sz val="10"/>
        <rFont val="Verdana"/>
        <family val="2"/>
      </rPr>
      <t>4</t>
    </r>
  </si>
  <si>
    <r>
      <t>L5×3</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5</t>
    </r>
    <r>
      <rPr>
        <sz val="10"/>
        <rFont val="Verdana"/>
        <family val="2"/>
      </rPr>
      <t>/</t>
    </r>
    <r>
      <rPr>
        <vertAlign val="subscript"/>
        <sz val="10"/>
        <rFont val="Verdana"/>
        <family val="2"/>
      </rPr>
      <t>8</t>
    </r>
  </si>
  <si>
    <r>
      <t>L5×3</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1</t>
    </r>
    <r>
      <rPr>
        <sz val="10"/>
        <rFont val="Verdana"/>
        <family val="2"/>
      </rPr>
      <t>/</t>
    </r>
    <r>
      <rPr>
        <vertAlign val="subscript"/>
        <sz val="10"/>
        <rFont val="Verdana"/>
        <family val="2"/>
      </rPr>
      <t>2</t>
    </r>
  </si>
  <si>
    <r>
      <t>L5×3</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7</t>
    </r>
    <r>
      <rPr>
        <sz val="10"/>
        <rFont val="Verdana"/>
        <family val="2"/>
      </rPr>
      <t>/</t>
    </r>
    <r>
      <rPr>
        <vertAlign val="subscript"/>
        <sz val="10"/>
        <rFont val="Verdana"/>
        <family val="2"/>
      </rPr>
      <t>16</t>
    </r>
  </si>
  <si>
    <r>
      <t>L5×3</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3</t>
    </r>
    <r>
      <rPr>
        <sz val="10"/>
        <rFont val="Verdana"/>
        <family val="2"/>
      </rPr>
      <t>/</t>
    </r>
    <r>
      <rPr>
        <vertAlign val="subscript"/>
        <sz val="10"/>
        <rFont val="Verdana"/>
        <family val="2"/>
      </rPr>
      <t>8</t>
    </r>
  </si>
  <si>
    <r>
      <t>L5×3</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5</t>
    </r>
    <r>
      <rPr>
        <sz val="10"/>
        <rFont val="Verdana"/>
        <family val="2"/>
      </rPr>
      <t>/</t>
    </r>
    <r>
      <rPr>
        <vertAlign val="subscript"/>
        <sz val="10"/>
        <rFont val="Verdana"/>
        <family val="2"/>
      </rPr>
      <t>16</t>
    </r>
  </si>
  <si>
    <r>
      <t>L5×3</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1</t>
    </r>
    <r>
      <rPr>
        <sz val="10"/>
        <rFont val="Verdana"/>
        <family val="2"/>
      </rPr>
      <t>/</t>
    </r>
    <r>
      <rPr>
        <vertAlign val="subscript"/>
        <sz val="10"/>
        <rFont val="Verdana"/>
        <family val="2"/>
      </rPr>
      <t>4</t>
    </r>
  </si>
  <si>
    <r>
      <t>L5×3×</t>
    </r>
    <r>
      <rPr>
        <vertAlign val="superscript"/>
        <sz val="10"/>
        <rFont val="Verdana"/>
        <family val="2"/>
      </rPr>
      <t>5</t>
    </r>
    <r>
      <rPr>
        <sz val="10"/>
        <rFont val="Verdana"/>
        <family val="2"/>
      </rPr>
      <t>/</t>
    </r>
    <r>
      <rPr>
        <vertAlign val="subscript"/>
        <sz val="10"/>
        <rFont val="Verdana"/>
        <family val="2"/>
      </rPr>
      <t>8</t>
    </r>
  </si>
  <si>
    <r>
      <t>L5×3×</t>
    </r>
    <r>
      <rPr>
        <vertAlign val="superscript"/>
        <sz val="10"/>
        <rFont val="Verdana"/>
        <family val="2"/>
      </rPr>
      <t>1</t>
    </r>
    <r>
      <rPr>
        <sz val="10"/>
        <rFont val="Verdana"/>
        <family val="2"/>
      </rPr>
      <t>/</t>
    </r>
    <r>
      <rPr>
        <vertAlign val="subscript"/>
        <sz val="10"/>
        <rFont val="Verdana"/>
        <family val="2"/>
      </rPr>
      <t>2</t>
    </r>
  </si>
  <si>
    <r>
      <t>L5×3×</t>
    </r>
    <r>
      <rPr>
        <vertAlign val="superscript"/>
        <sz val="10"/>
        <rFont val="Verdana"/>
        <family val="2"/>
      </rPr>
      <t>7</t>
    </r>
    <r>
      <rPr>
        <sz val="10"/>
        <rFont val="Verdana"/>
        <family val="2"/>
      </rPr>
      <t>/</t>
    </r>
    <r>
      <rPr>
        <vertAlign val="subscript"/>
        <sz val="10"/>
        <rFont val="Verdana"/>
        <family val="2"/>
      </rPr>
      <t>16</t>
    </r>
  </si>
  <si>
    <r>
      <t>L5×3×</t>
    </r>
    <r>
      <rPr>
        <vertAlign val="superscript"/>
        <sz val="10"/>
        <rFont val="Verdana"/>
        <family val="2"/>
      </rPr>
      <t>3</t>
    </r>
    <r>
      <rPr>
        <sz val="10"/>
        <rFont val="Verdana"/>
        <family val="2"/>
      </rPr>
      <t>/</t>
    </r>
    <r>
      <rPr>
        <vertAlign val="subscript"/>
        <sz val="10"/>
        <rFont val="Verdana"/>
        <family val="2"/>
      </rPr>
      <t>8</t>
    </r>
  </si>
  <si>
    <r>
      <t>L5×3×</t>
    </r>
    <r>
      <rPr>
        <vertAlign val="superscript"/>
        <sz val="10"/>
        <rFont val="Verdana"/>
        <family val="2"/>
      </rPr>
      <t>5</t>
    </r>
    <r>
      <rPr>
        <sz val="10"/>
        <rFont val="Verdana"/>
        <family val="2"/>
      </rPr>
      <t>/</t>
    </r>
    <r>
      <rPr>
        <vertAlign val="subscript"/>
        <sz val="10"/>
        <rFont val="Verdana"/>
        <family val="2"/>
      </rPr>
      <t>16</t>
    </r>
  </si>
  <si>
    <r>
      <t>L5×3×</t>
    </r>
    <r>
      <rPr>
        <vertAlign val="superscript"/>
        <sz val="10"/>
        <rFont val="Verdana"/>
        <family val="2"/>
      </rPr>
      <t>1</t>
    </r>
    <r>
      <rPr>
        <sz val="10"/>
        <rFont val="Verdana"/>
        <family val="2"/>
      </rPr>
      <t>/</t>
    </r>
    <r>
      <rPr>
        <vertAlign val="subscript"/>
        <sz val="10"/>
        <rFont val="Verdana"/>
        <family val="2"/>
      </rPr>
      <t>4</t>
    </r>
  </si>
  <si>
    <r>
      <t>L4×3</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5</t>
    </r>
    <r>
      <rPr>
        <sz val="10"/>
        <rFont val="Verdana"/>
        <family val="2"/>
      </rPr>
      <t>/</t>
    </r>
    <r>
      <rPr>
        <vertAlign val="subscript"/>
        <sz val="10"/>
        <rFont val="Verdana"/>
        <family val="2"/>
      </rPr>
      <t>8</t>
    </r>
  </si>
  <si>
    <r>
      <t>L4×3</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1</t>
    </r>
    <r>
      <rPr>
        <sz val="10"/>
        <rFont val="Verdana"/>
        <family val="2"/>
      </rPr>
      <t>/</t>
    </r>
    <r>
      <rPr>
        <vertAlign val="subscript"/>
        <sz val="10"/>
        <rFont val="Verdana"/>
        <family val="2"/>
      </rPr>
      <t>2</t>
    </r>
  </si>
  <si>
    <r>
      <t>L4×3</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7</t>
    </r>
    <r>
      <rPr>
        <sz val="10"/>
        <rFont val="Verdana"/>
        <family val="2"/>
      </rPr>
      <t>/</t>
    </r>
    <r>
      <rPr>
        <vertAlign val="subscript"/>
        <sz val="10"/>
        <rFont val="Verdana"/>
        <family val="2"/>
      </rPr>
      <t>16</t>
    </r>
  </si>
  <si>
    <r>
      <t>L4×3</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3</t>
    </r>
    <r>
      <rPr>
        <sz val="10"/>
        <rFont val="Verdana"/>
        <family val="2"/>
      </rPr>
      <t>/</t>
    </r>
    <r>
      <rPr>
        <vertAlign val="subscript"/>
        <sz val="10"/>
        <rFont val="Verdana"/>
        <family val="2"/>
      </rPr>
      <t>8</t>
    </r>
  </si>
  <si>
    <r>
      <t>L4×3</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5</t>
    </r>
    <r>
      <rPr>
        <sz val="10"/>
        <rFont val="Verdana"/>
        <family val="2"/>
      </rPr>
      <t>/</t>
    </r>
    <r>
      <rPr>
        <vertAlign val="subscript"/>
        <sz val="10"/>
        <rFont val="Verdana"/>
        <family val="2"/>
      </rPr>
      <t>16</t>
    </r>
  </si>
  <si>
    <r>
      <t>L4×3</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1</t>
    </r>
    <r>
      <rPr>
        <sz val="10"/>
        <rFont val="Verdana"/>
        <family val="2"/>
      </rPr>
      <t>/</t>
    </r>
    <r>
      <rPr>
        <vertAlign val="subscript"/>
        <sz val="10"/>
        <rFont val="Verdana"/>
        <family val="2"/>
      </rPr>
      <t>4</t>
    </r>
  </si>
  <si>
    <r>
      <t>L4×3×</t>
    </r>
    <r>
      <rPr>
        <vertAlign val="superscript"/>
        <sz val="10"/>
        <rFont val="Verdana"/>
        <family val="2"/>
      </rPr>
      <t>5</t>
    </r>
    <r>
      <rPr>
        <sz val="10"/>
        <rFont val="Verdana"/>
        <family val="2"/>
      </rPr>
      <t>/</t>
    </r>
    <r>
      <rPr>
        <vertAlign val="subscript"/>
        <sz val="10"/>
        <rFont val="Verdana"/>
        <family val="2"/>
      </rPr>
      <t>8</t>
    </r>
  </si>
  <si>
    <r>
      <t>L4×3×</t>
    </r>
    <r>
      <rPr>
        <vertAlign val="superscript"/>
        <sz val="10"/>
        <rFont val="Verdana"/>
        <family val="2"/>
      </rPr>
      <t>1</t>
    </r>
    <r>
      <rPr>
        <sz val="10"/>
        <rFont val="Verdana"/>
        <family val="2"/>
      </rPr>
      <t>/</t>
    </r>
    <r>
      <rPr>
        <vertAlign val="subscript"/>
        <sz val="10"/>
        <rFont val="Verdana"/>
        <family val="2"/>
      </rPr>
      <t>2</t>
    </r>
  </si>
  <si>
    <r>
      <t>L4×3×</t>
    </r>
    <r>
      <rPr>
        <vertAlign val="superscript"/>
        <sz val="10"/>
        <rFont val="Verdana"/>
        <family val="2"/>
      </rPr>
      <t>7</t>
    </r>
    <r>
      <rPr>
        <sz val="10"/>
        <rFont val="Verdana"/>
        <family val="2"/>
      </rPr>
      <t>/</t>
    </r>
    <r>
      <rPr>
        <vertAlign val="subscript"/>
        <sz val="10"/>
        <rFont val="Verdana"/>
        <family val="2"/>
      </rPr>
      <t>16</t>
    </r>
  </si>
  <si>
    <r>
      <t>L4×3×</t>
    </r>
    <r>
      <rPr>
        <vertAlign val="superscript"/>
        <sz val="10"/>
        <rFont val="Verdana"/>
        <family val="2"/>
      </rPr>
      <t>3</t>
    </r>
    <r>
      <rPr>
        <sz val="10"/>
        <rFont val="Verdana"/>
        <family val="2"/>
      </rPr>
      <t>/</t>
    </r>
    <r>
      <rPr>
        <vertAlign val="subscript"/>
        <sz val="10"/>
        <rFont val="Verdana"/>
        <family val="2"/>
      </rPr>
      <t>8</t>
    </r>
  </si>
  <si>
    <r>
      <t>L4×3×</t>
    </r>
    <r>
      <rPr>
        <vertAlign val="superscript"/>
        <sz val="10"/>
        <rFont val="Verdana"/>
        <family val="2"/>
      </rPr>
      <t>5</t>
    </r>
    <r>
      <rPr>
        <sz val="10"/>
        <rFont val="Verdana"/>
        <family val="2"/>
      </rPr>
      <t>/</t>
    </r>
    <r>
      <rPr>
        <vertAlign val="subscript"/>
        <sz val="10"/>
        <rFont val="Verdana"/>
        <family val="2"/>
      </rPr>
      <t>16</t>
    </r>
  </si>
  <si>
    <r>
      <t>L4×3×</t>
    </r>
    <r>
      <rPr>
        <vertAlign val="superscript"/>
        <sz val="10"/>
        <rFont val="Verdana"/>
        <family val="2"/>
      </rPr>
      <t>1</t>
    </r>
    <r>
      <rPr>
        <sz val="10"/>
        <rFont val="Verdana"/>
        <family val="2"/>
      </rPr>
      <t>/</t>
    </r>
    <r>
      <rPr>
        <vertAlign val="subscript"/>
        <sz val="10"/>
        <rFont val="Verdana"/>
        <family val="2"/>
      </rPr>
      <t>4</t>
    </r>
  </si>
  <si>
    <r>
      <t>L3</t>
    </r>
    <r>
      <rPr>
        <vertAlign val="superscript"/>
        <sz val="10"/>
        <rFont val="Verdana"/>
        <family val="2"/>
      </rPr>
      <t>1</t>
    </r>
    <r>
      <rPr>
        <sz val="10"/>
        <rFont val="Verdana"/>
        <family val="2"/>
      </rPr>
      <t>/</t>
    </r>
    <r>
      <rPr>
        <vertAlign val="subscript"/>
        <sz val="10"/>
        <rFont val="Verdana"/>
        <family val="2"/>
      </rPr>
      <t>2</t>
    </r>
    <r>
      <rPr>
        <sz val="10"/>
        <rFont val="Verdana"/>
        <family val="2"/>
      </rPr>
      <t>×3×</t>
    </r>
    <r>
      <rPr>
        <vertAlign val="superscript"/>
        <sz val="10"/>
        <rFont val="Verdana"/>
        <family val="2"/>
      </rPr>
      <t>1</t>
    </r>
    <r>
      <rPr>
        <sz val="10"/>
        <rFont val="Verdana"/>
        <family val="2"/>
      </rPr>
      <t>/</t>
    </r>
    <r>
      <rPr>
        <vertAlign val="subscript"/>
        <sz val="10"/>
        <rFont val="Verdana"/>
        <family val="2"/>
      </rPr>
      <t>2</t>
    </r>
  </si>
  <si>
    <r>
      <t>L3</t>
    </r>
    <r>
      <rPr>
        <vertAlign val="superscript"/>
        <sz val="10"/>
        <rFont val="Verdana"/>
        <family val="2"/>
      </rPr>
      <t>1</t>
    </r>
    <r>
      <rPr>
        <sz val="10"/>
        <rFont val="Verdana"/>
        <family val="2"/>
      </rPr>
      <t>/</t>
    </r>
    <r>
      <rPr>
        <vertAlign val="subscript"/>
        <sz val="10"/>
        <rFont val="Verdana"/>
        <family val="2"/>
      </rPr>
      <t>2</t>
    </r>
    <r>
      <rPr>
        <sz val="10"/>
        <rFont val="Verdana"/>
        <family val="2"/>
      </rPr>
      <t>×3×</t>
    </r>
    <r>
      <rPr>
        <vertAlign val="superscript"/>
        <sz val="10"/>
        <rFont val="Verdana"/>
        <family val="2"/>
      </rPr>
      <t>7</t>
    </r>
    <r>
      <rPr>
        <sz val="10"/>
        <rFont val="Verdana"/>
        <family val="2"/>
      </rPr>
      <t>/</t>
    </r>
    <r>
      <rPr>
        <vertAlign val="subscript"/>
        <sz val="10"/>
        <rFont val="Verdana"/>
        <family val="2"/>
      </rPr>
      <t>16</t>
    </r>
  </si>
  <si>
    <r>
      <t>L3</t>
    </r>
    <r>
      <rPr>
        <vertAlign val="superscript"/>
        <sz val="10"/>
        <rFont val="Verdana"/>
        <family val="2"/>
      </rPr>
      <t>1</t>
    </r>
    <r>
      <rPr>
        <sz val="10"/>
        <rFont val="Verdana"/>
        <family val="2"/>
      </rPr>
      <t>/</t>
    </r>
    <r>
      <rPr>
        <vertAlign val="subscript"/>
        <sz val="10"/>
        <rFont val="Verdana"/>
        <family val="2"/>
      </rPr>
      <t>2</t>
    </r>
    <r>
      <rPr>
        <sz val="10"/>
        <rFont val="Verdana"/>
        <family val="2"/>
      </rPr>
      <t>×3×</t>
    </r>
    <r>
      <rPr>
        <vertAlign val="superscript"/>
        <sz val="10"/>
        <rFont val="Verdana"/>
        <family val="2"/>
      </rPr>
      <t>3</t>
    </r>
    <r>
      <rPr>
        <sz val="10"/>
        <rFont val="Verdana"/>
        <family val="2"/>
      </rPr>
      <t>/</t>
    </r>
    <r>
      <rPr>
        <vertAlign val="subscript"/>
        <sz val="10"/>
        <rFont val="Verdana"/>
        <family val="2"/>
      </rPr>
      <t>8</t>
    </r>
  </si>
  <si>
    <r>
      <t>L3</t>
    </r>
    <r>
      <rPr>
        <vertAlign val="superscript"/>
        <sz val="10"/>
        <rFont val="Verdana"/>
        <family val="2"/>
      </rPr>
      <t>1</t>
    </r>
    <r>
      <rPr>
        <sz val="10"/>
        <rFont val="Verdana"/>
        <family val="2"/>
      </rPr>
      <t>/</t>
    </r>
    <r>
      <rPr>
        <vertAlign val="subscript"/>
        <sz val="10"/>
        <rFont val="Verdana"/>
        <family val="2"/>
      </rPr>
      <t>2</t>
    </r>
    <r>
      <rPr>
        <sz val="10"/>
        <rFont val="Verdana"/>
        <family val="2"/>
      </rPr>
      <t>×3×</t>
    </r>
    <r>
      <rPr>
        <vertAlign val="superscript"/>
        <sz val="10"/>
        <rFont val="Verdana"/>
        <family val="2"/>
      </rPr>
      <t>5</t>
    </r>
    <r>
      <rPr>
        <sz val="10"/>
        <rFont val="Verdana"/>
        <family val="2"/>
      </rPr>
      <t>/</t>
    </r>
    <r>
      <rPr>
        <vertAlign val="subscript"/>
        <sz val="10"/>
        <rFont val="Verdana"/>
        <family val="2"/>
      </rPr>
      <t>16</t>
    </r>
  </si>
  <si>
    <r>
      <t>L3</t>
    </r>
    <r>
      <rPr>
        <vertAlign val="superscript"/>
        <sz val="10"/>
        <rFont val="Verdana"/>
        <family val="2"/>
      </rPr>
      <t>1</t>
    </r>
    <r>
      <rPr>
        <sz val="10"/>
        <rFont val="Verdana"/>
        <family val="2"/>
      </rPr>
      <t>/</t>
    </r>
    <r>
      <rPr>
        <vertAlign val="subscript"/>
        <sz val="10"/>
        <rFont val="Verdana"/>
        <family val="2"/>
      </rPr>
      <t>2</t>
    </r>
    <r>
      <rPr>
        <sz val="10"/>
        <rFont val="Verdana"/>
        <family val="2"/>
      </rPr>
      <t>×3×</t>
    </r>
    <r>
      <rPr>
        <vertAlign val="superscript"/>
        <sz val="10"/>
        <rFont val="Verdana"/>
        <family val="2"/>
      </rPr>
      <t>1</t>
    </r>
    <r>
      <rPr>
        <sz val="10"/>
        <rFont val="Verdana"/>
        <family val="2"/>
      </rPr>
      <t>/</t>
    </r>
    <r>
      <rPr>
        <vertAlign val="subscript"/>
        <sz val="10"/>
        <rFont val="Verdana"/>
        <family val="2"/>
      </rPr>
      <t>4</t>
    </r>
  </si>
  <si>
    <r>
      <t>L3</t>
    </r>
    <r>
      <rPr>
        <vertAlign val="superscript"/>
        <sz val="10"/>
        <rFont val="Verdana"/>
        <family val="2"/>
      </rPr>
      <t>1</t>
    </r>
    <r>
      <rPr>
        <sz val="10"/>
        <rFont val="Verdana"/>
        <family val="2"/>
      </rPr>
      <t>/</t>
    </r>
    <r>
      <rPr>
        <vertAlign val="subscript"/>
        <sz val="10"/>
        <rFont val="Verdana"/>
        <family val="2"/>
      </rPr>
      <t>2</t>
    </r>
    <r>
      <rPr>
        <sz val="10"/>
        <rFont val="Verdana"/>
        <family val="2"/>
      </rPr>
      <t>×2</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1</t>
    </r>
    <r>
      <rPr>
        <sz val="10"/>
        <rFont val="Verdana"/>
        <family val="2"/>
      </rPr>
      <t>/</t>
    </r>
    <r>
      <rPr>
        <vertAlign val="subscript"/>
        <sz val="10"/>
        <rFont val="Verdana"/>
        <family val="2"/>
      </rPr>
      <t>2</t>
    </r>
  </si>
  <si>
    <r>
      <t>L3</t>
    </r>
    <r>
      <rPr>
        <vertAlign val="superscript"/>
        <sz val="10"/>
        <rFont val="Verdana"/>
        <family val="2"/>
      </rPr>
      <t>1</t>
    </r>
    <r>
      <rPr>
        <sz val="10"/>
        <rFont val="Verdana"/>
        <family val="2"/>
      </rPr>
      <t>/</t>
    </r>
    <r>
      <rPr>
        <vertAlign val="subscript"/>
        <sz val="10"/>
        <rFont val="Verdana"/>
        <family val="2"/>
      </rPr>
      <t>2</t>
    </r>
    <r>
      <rPr>
        <sz val="10"/>
        <rFont val="Verdana"/>
        <family val="2"/>
      </rPr>
      <t>×2</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7</t>
    </r>
    <r>
      <rPr>
        <sz val="10"/>
        <rFont val="Verdana"/>
        <family val="2"/>
      </rPr>
      <t>/</t>
    </r>
    <r>
      <rPr>
        <vertAlign val="subscript"/>
        <sz val="10"/>
        <rFont val="Verdana"/>
        <family val="2"/>
      </rPr>
      <t>16</t>
    </r>
  </si>
  <si>
    <r>
      <t>L3</t>
    </r>
    <r>
      <rPr>
        <vertAlign val="superscript"/>
        <sz val="10"/>
        <rFont val="Verdana"/>
        <family val="2"/>
      </rPr>
      <t>1</t>
    </r>
    <r>
      <rPr>
        <sz val="10"/>
        <rFont val="Verdana"/>
        <family val="2"/>
      </rPr>
      <t>/</t>
    </r>
    <r>
      <rPr>
        <vertAlign val="subscript"/>
        <sz val="10"/>
        <rFont val="Verdana"/>
        <family val="2"/>
      </rPr>
      <t>2</t>
    </r>
    <r>
      <rPr>
        <sz val="10"/>
        <rFont val="Verdana"/>
        <family val="2"/>
      </rPr>
      <t>×2</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3</t>
    </r>
    <r>
      <rPr>
        <sz val="10"/>
        <rFont val="Verdana"/>
        <family val="2"/>
      </rPr>
      <t>/</t>
    </r>
    <r>
      <rPr>
        <vertAlign val="subscript"/>
        <sz val="10"/>
        <rFont val="Verdana"/>
        <family val="2"/>
      </rPr>
      <t>8</t>
    </r>
  </si>
  <si>
    <r>
      <t>L3</t>
    </r>
    <r>
      <rPr>
        <vertAlign val="superscript"/>
        <sz val="10"/>
        <rFont val="Verdana"/>
        <family val="2"/>
      </rPr>
      <t>1</t>
    </r>
    <r>
      <rPr>
        <sz val="10"/>
        <rFont val="Verdana"/>
        <family val="2"/>
      </rPr>
      <t>/</t>
    </r>
    <r>
      <rPr>
        <vertAlign val="subscript"/>
        <sz val="10"/>
        <rFont val="Verdana"/>
        <family val="2"/>
      </rPr>
      <t>2</t>
    </r>
    <r>
      <rPr>
        <sz val="10"/>
        <rFont val="Verdana"/>
        <family val="2"/>
      </rPr>
      <t>×2</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5</t>
    </r>
    <r>
      <rPr>
        <sz val="10"/>
        <rFont val="Verdana"/>
        <family val="2"/>
      </rPr>
      <t>/</t>
    </r>
    <r>
      <rPr>
        <vertAlign val="subscript"/>
        <sz val="10"/>
        <rFont val="Verdana"/>
        <family val="2"/>
      </rPr>
      <t>16</t>
    </r>
  </si>
  <si>
    <r>
      <t>L3</t>
    </r>
    <r>
      <rPr>
        <vertAlign val="superscript"/>
        <sz val="10"/>
        <rFont val="Verdana"/>
        <family val="2"/>
      </rPr>
      <t>1</t>
    </r>
    <r>
      <rPr>
        <sz val="10"/>
        <rFont val="Verdana"/>
        <family val="2"/>
      </rPr>
      <t>/</t>
    </r>
    <r>
      <rPr>
        <vertAlign val="subscript"/>
        <sz val="10"/>
        <rFont val="Verdana"/>
        <family val="2"/>
      </rPr>
      <t>2</t>
    </r>
    <r>
      <rPr>
        <sz val="10"/>
        <rFont val="Verdana"/>
        <family val="2"/>
      </rPr>
      <t>×2</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1</t>
    </r>
    <r>
      <rPr>
        <sz val="10"/>
        <rFont val="Verdana"/>
        <family val="2"/>
      </rPr>
      <t>/</t>
    </r>
    <r>
      <rPr>
        <vertAlign val="subscript"/>
        <sz val="10"/>
        <rFont val="Verdana"/>
        <family val="2"/>
      </rPr>
      <t>4</t>
    </r>
  </si>
  <si>
    <r>
      <t>L3×2</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1</t>
    </r>
    <r>
      <rPr>
        <sz val="10"/>
        <rFont val="Verdana"/>
        <family val="2"/>
      </rPr>
      <t>/</t>
    </r>
    <r>
      <rPr>
        <vertAlign val="subscript"/>
        <sz val="10"/>
        <rFont val="Verdana"/>
        <family val="2"/>
      </rPr>
      <t>2</t>
    </r>
  </si>
  <si>
    <r>
      <t>L3×2</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7</t>
    </r>
    <r>
      <rPr>
        <sz val="10"/>
        <rFont val="Verdana"/>
        <family val="2"/>
      </rPr>
      <t>/</t>
    </r>
    <r>
      <rPr>
        <vertAlign val="subscript"/>
        <sz val="10"/>
        <rFont val="Verdana"/>
        <family val="2"/>
      </rPr>
      <t>16</t>
    </r>
  </si>
  <si>
    <r>
      <t>L3×2</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3</t>
    </r>
    <r>
      <rPr>
        <sz val="10"/>
        <rFont val="Verdana"/>
        <family val="2"/>
      </rPr>
      <t>/</t>
    </r>
    <r>
      <rPr>
        <vertAlign val="subscript"/>
        <sz val="10"/>
        <rFont val="Verdana"/>
        <family val="2"/>
      </rPr>
      <t>8</t>
    </r>
  </si>
  <si>
    <r>
      <t>L3×2</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5</t>
    </r>
    <r>
      <rPr>
        <sz val="10"/>
        <rFont val="Verdana"/>
        <family val="2"/>
      </rPr>
      <t>/</t>
    </r>
    <r>
      <rPr>
        <vertAlign val="subscript"/>
        <sz val="10"/>
        <rFont val="Verdana"/>
        <family val="2"/>
      </rPr>
      <t>16</t>
    </r>
  </si>
  <si>
    <r>
      <t>L3×2</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1</t>
    </r>
    <r>
      <rPr>
        <sz val="10"/>
        <rFont val="Verdana"/>
        <family val="2"/>
      </rPr>
      <t>/</t>
    </r>
    <r>
      <rPr>
        <vertAlign val="subscript"/>
        <sz val="10"/>
        <rFont val="Verdana"/>
        <family val="2"/>
      </rPr>
      <t>4</t>
    </r>
  </si>
  <si>
    <r>
      <t>L3×2</t>
    </r>
    <r>
      <rPr>
        <vertAlign val="superscript"/>
        <sz val="10"/>
        <rFont val="Verdana"/>
        <family val="2"/>
      </rPr>
      <t>1</t>
    </r>
    <r>
      <rPr>
        <sz val="10"/>
        <rFont val="Verdana"/>
        <family val="2"/>
      </rPr>
      <t>/</t>
    </r>
    <r>
      <rPr>
        <vertAlign val="subscript"/>
        <sz val="10"/>
        <rFont val="Verdana"/>
        <family val="2"/>
      </rPr>
      <t>2</t>
    </r>
    <r>
      <rPr>
        <sz val="10"/>
        <rFont val="Verdana"/>
        <family val="2"/>
      </rPr>
      <t>×</t>
    </r>
    <r>
      <rPr>
        <vertAlign val="superscript"/>
        <sz val="10"/>
        <rFont val="Verdana"/>
        <family val="2"/>
      </rPr>
      <t>3</t>
    </r>
    <r>
      <rPr>
        <sz val="10"/>
        <rFont val="Verdana"/>
        <family val="2"/>
      </rPr>
      <t>/</t>
    </r>
    <r>
      <rPr>
        <vertAlign val="subscript"/>
        <sz val="10"/>
        <rFont val="Verdana"/>
        <family val="2"/>
      </rPr>
      <t>16</t>
    </r>
  </si>
  <si>
    <r>
      <t>L3×2×</t>
    </r>
    <r>
      <rPr>
        <vertAlign val="superscript"/>
        <sz val="10"/>
        <rFont val="Verdana"/>
        <family val="2"/>
      </rPr>
      <t>1</t>
    </r>
    <r>
      <rPr>
        <sz val="10"/>
        <rFont val="Verdana"/>
        <family val="2"/>
      </rPr>
      <t>/</t>
    </r>
    <r>
      <rPr>
        <vertAlign val="subscript"/>
        <sz val="10"/>
        <rFont val="Verdana"/>
        <family val="2"/>
      </rPr>
      <t>2</t>
    </r>
  </si>
  <si>
    <r>
      <t>L3×2×</t>
    </r>
    <r>
      <rPr>
        <vertAlign val="superscript"/>
        <sz val="10"/>
        <rFont val="Verdana"/>
        <family val="2"/>
      </rPr>
      <t>7</t>
    </r>
    <r>
      <rPr>
        <sz val="10"/>
        <rFont val="Verdana"/>
        <family val="2"/>
      </rPr>
      <t>/</t>
    </r>
    <r>
      <rPr>
        <vertAlign val="subscript"/>
        <sz val="10"/>
        <rFont val="Verdana"/>
        <family val="2"/>
      </rPr>
      <t>16</t>
    </r>
  </si>
  <si>
    <r>
      <t>L3×2×</t>
    </r>
    <r>
      <rPr>
        <vertAlign val="superscript"/>
        <sz val="10"/>
        <rFont val="Verdana"/>
        <family val="2"/>
      </rPr>
      <t>3</t>
    </r>
    <r>
      <rPr>
        <sz val="10"/>
        <rFont val="Verdana"/>
        <family val="2"/>
      </rPr>
      <t>/</t>
    </r>
    <r>
      <rPr>
        <vertAlign val="subscript"/>
        <sz val="10"/>
        <rFont val="Verdana"/>
        <family val="2"/>
      </rPr>
      <t>8</t>
    </r>
  </si>
  <si>
    <r>
      <t>L3×2×</t>
    </r>
    <r>
      <rPr>
        <vertAlign val="superscript"/>
        <sz val="10"/>
        <rFont val="Verdana"/>
        <family val="2"/>
      </rPr>
      <t>5</t>
    </r>
    <r>
      <rPr>
        <sz val="10"/>
        <rFont val="Verdana"/>
        <family val="2"/>
      </rPr>
      <t>/</t>
    </r>
    <r>
      <rPr>
        <vertAlign val="subscript"/>
        <sz val="10"/>
        <rFont val="Verdana"/>
        <family val="2"/>
      </rPr>
      <t>16</t>
    </r>
  </si>
  <si>
    <r>
      <t>L3×2×</t>
    </r>
    <r>
      <rPr>
        <vertAlign val="superscript"/>
        <sz val="10"/>
        <rFont val="Verdana"/>
        <family val="2"/>
      </rPr>
      <t>1</t>
    </r>
    <r>
      <rPr>
        <sz val="10"/>
        <rFont val="Verdana"/>
        <family val="2"/>
      </rPr>
      <t>/</t>
    </r>
    <r>
      <rPr>
        <vertAlign val="subscript"/>
        <sz val="10"/>
        <rFont val="Verdana"/>
        <family val="2"/>
      </rPr>
      <t>4</t>
    </r>
  </si>
  <si>
    <r>
      <t>L3×2×</t>
    </r>
    <r>
      <rPr>
        <vertAlign val="superscript"/>
        <sz val="10"/>
        <rFont val="Verdana"/>
        <family val="2"/>
      </rPr>
      <t>3</t>
    </r>
    <r>
      <rPr>
        <sz val="10"/>
        <rFont val="Verdana"/>
        <family val="2"/>
      </rPr>
      <t>/</t>
    </r>
    <r>
      <rPr>
        <vertAlign val="subscript"/>
        <sz val="10"/>
        <rFont val="Verdana"/>
        <family val="2"/>
      </rPr>
      <t>16</t>
    </r>
  </si>
  <si>
    <r>
      <t>L2</t>
    </r>
    <r>
      <rPr>
        <vertAlign val="superscript"/>
        <sz val="10"/>
        <rFont val="Verdana"/>
        <family val="2"/>
      </rPr>
      <t>1</t>
    </r>
    <r>
      <rPr>
        <sz val="10"/>
        <rFont val="Verdana"/>
        <family val="2"/>
      </rPr>
      <t>/</t>
    </r>
    <r>
      <rPr>
        <vertAlign val="subscript"/>
        <sz val="10"/>
        <rFont val="Verdana"/>
        <family val="2"/>
      </rPr>
      <t>2</t>
    </r>
    <r>
      <rPr>
        <sz val="10"/>
        <rFont val="Verdana"/>
        <family val="2"/>
      </rPr>
      <t>×2×</t>
    </r>
    <r>
      <rPr>
        <vertAlign val="superscript"/>
        <sz val="10"/>
        <rFont val="Verdana"/>
        <family val="2"/>
      </rPr>
      <t>3</t>
    </r>
    <r>
      <rPr>
        <sz val="10"/>
        <rFont val="Verdana"/>
        <family val="2"/>
      </rPr>
      <t>/</t>
    </r>
    <r>
      <rPr>
        <vertAlign val="subscript"/>
        <sz val="10"/>
        <rFont val="Verdana"/>
        <family val="2"/>
      </rPr>
      <t>8</t>
    </r>
  </si>
  <si>
    <r>
      <t>L2</t>
    </r>
    <r>
      <rPr>
        <vertAlign val="superscript"/>
        <sz val="10"/>
        <rFont val="Verdana"/>
        <family val="2"/>
      </rPr>
      <t>1</t>
    </r>
    <r>
      <rPr>
        <sz val="10"/>
        <rFont val="Verdana"/>
        <family val="2"/>
      </rPr>
      <t>/</t>
    </r>
    <r>
      <rPr>
        <vertAlign val="subscript"/>
        <sz val="10"/>
        <rFont val="Verdana"/>
        <family val="2"/>
      </rPr>
      <t>2</t>
    </r>
    <r>
      <rPr>
        <sz val="10"/>
        <rFont val="Verdana"/>
        <family val="2"/>
      </rPr>
      <t>×2×</t>
    </r>
    <r>
      <rPr>
        <vertAlign val="superscript"/>
        <sz val="10"/>
        <rFont val="Verdana"/>
        <family val="2"/>
      </rPr>
      <t>5</t>
    </r>
    <r>
      <rPr>
        <sz val="10"/>
        <rFont val="Verdana"/>
        <family val="2"/>
      </rPr>
      <t>/</t>
    </r>
    <r>
      <rPr>
        <vertAlign val="subscript"/>
        <sz val="10"/>
        <rFont val="Verdana"/>
        <family val="2"/>
      </rPr>
      <t>16</t>
    </r>
  </si>
  <si>
    <r>
      <t>L2</t>
    </r>
    <r>
      <rPr>
        <vertAlign val="superscript"/>
        <sz val="10"/>
        <rFont val="Verdana"/>
        <family val="2"/>
      </rPr>
      <t>1</t>
    </r>
    <r>
      <rPr>
        <sz val="10"/>
        <rFont val="Verdana"/>
        <family val="2"/>
      </rPr>
      <t>/</t>
    </r>
    <r>
      <rPr>
        <vertAlign val="subscript"/>
        <sz val="10"/>
        <rFont val="Verdana"/>
        <family val="2"/>
      </rPr>
      <t>2</t>
    </r>
    <r>
      <rPr>
        <sz val="10"/>
        <rFont val="Verdana"/>
        <family val="2"/>
      </rPr>
      <t>×2×</t>
    </r>
    <r>
      <rPr>
        <vertAlign val="superscript"/>
        <sz val="10"/>
        <rFont val="Verdana"/>
        <family val="2"/>
      </rPr>
      <t>1</t>
    </r>
    <r>
      <rPr>
        <sz val="10"/>
        <rFont val="Verdana"/>
        <family val="2"/>
      </rPr>
      <t>/</t>
    </r>
    <r>
      <rPr>
        <vertAlign val="subscript"/>
        <sz val="10"/>
        <rFont val="Verdana"/>
        <family val="2"/>
      </rPr>
      <t>4</t>
    </r>
  </si>
  <si>
    <r>
      <t>L2</t>
    </r>
    <r>
      <rPr>
        <vertAlign val="superscript"/>
        <sz val="10"/>
        <rFont val="Verdana"/>
        <family val="2"/>
      </rPr>
      <t>1</t>
    </r>
    <r>
      <rPr>
        <sz val="10"/>
        <rFont val="Verdana"/>
        <family val="2"/>
      </rPr>
      <t>/</t>
    </r>
    <r>
      <rPr>
        <vertAlign val="subscript"/>
        <sz val="10"/>
        <rFont val="Verdana"/>
        <family val="2"/>
      </rPr>
      <t>2</t>
    </r>
    <r>
      <rPr>
        <sz val="10"/>
        <rFont val="Verdana"/>
        <family val="2"/>
      </rPr>
      <t>×2×</t>
    </r>
    <r>
      <rPr>
        <vertAlign val="superscript"/>
        <sz val="10"/>
        <rFont val="Verdana"/>
        <family val="2"/>
      </rPr>
      <t>3</t>
    </r>
    <r>
      <rPr>
        <sz val="10"/>
        <rFont val="Verdana"/>
        <family val="2"/>
      </rPr>
      <t>/</t>
    </r>
    <r>
      <rPr>
        <vertAlign val="subscript"/>
        <sz val="10"/>
        <rFont val="Verdana"/>
        <family val="2"/>
      </rPr>
      <t>16</t>
    </r>
  </si>
  <si>
    <t>1/2 - Sch: 40, Std, 40S</t>
  </si>
  <si>
    <t>Length of pipe:</t>
  </si>
  <si>
    <t>1/2 - Sch: 80, XS, 80S</t>
  </si>
  <si>
    <t>Total weight of pipe:</t>
  </si>
  <si>
    <t>1/2 - Sch: 160</t>
  </si>
  <si>
    <t>1/2 - Sch: XXS</t>
  </si>
  <si>
    <t>3/4 - Sch: 5S</t>
  </si>
  <si>
    <t>Method #2 - Enter dimensions:</t>
  </si>
  <si>
    <t>3/4 - Sch: 10S</t>
  </si>
  <si>
    <t>3/4 - Sch: 40, Std, 40S</t>
  </si>
  <si>
    <t>Outside Diameter of Pipe:</t>
  </si>
  <si>
    <t>3/4 - Sch: 80, XS, 80S</t>
  </si>
  <si>
    <t>Wall Thickness of pipe:</t>
  </si>
  <si>
    <t>3/4 - Sch: 160</t>
  </si>
  <si>
    <t>3/4 - Sch: XXS</t>
  </si>
  <si>
    <t>1 - Sch: 5S</t>
  </si>
  <si>
    <t>1 - Sch: 10S</t>
  </si>
  <si>
    <t>Weight per foot:</t>
  </si>
  <si>
    <t>1 - Sch: 40, Std, 40S</t>
  </si>
  <si>
    <t>Total length of pipe:</t>
  </si>
  <si>
    <t>1 - Sch: 80, XS, 80S</t>
  </si>
  <si>
    <t>1 - Sch: 160</t>
  </si>
  <si>
    <t>1 - Sch: XXS</t>
  </si>
  <si>
    <t>Note: Method #2 may calculate a HIGHER weight estimate</t>
  </si>
  <si>
    <t>1 1/4 - Sch: 5S</t>
  </si>
  <si>
    <t>1 1/4 - Sch: 10S</t>
  </si>
  <si>
    <t>1 1/4 - Sch: 40, Std, 40S</t>
  </si>
  <si>
    <t>1 1/4 - Sch: 80, XS, 80S</t>
  </si>
  <si>
    <t>1 1/4 - Sch: 160</t>
  </si>
  <si>
    <t>1 1/4 - Sch: XXS</t>
  </si>
  <si>
    <t>1 1/2 - Sch: 5S</t>
  </si>
  <si>
    <t>1 1/2 - Sch: 10S</t>
  </si>
  <si>
    <t>1 1/2 - Sch: 40, Std, 40S</t>
  </si>
  <si>
    <t>1 1/2 - Sch: 80, XS, 80S</t>
  </si>
  <si>
    <t>1 1/2 - Sch: 160</t>
  </si>
  <si>
    <t>1 1/2 - Sch: XXS</t>
  </si>
  <si>
    <t>3.0F</t>
  </si>
  <si>
    <t>Corrected inconsistent "unsafe" flag for upper shackle use.</t>
  </si>
  <si>
    <t xml:space="preserve">      3.0 f</t>
  </si>
  <si>
    <t>2 - Sch: 5S</t>
  </si>
  <si>
    <t>2 - Sch: 10S</t>
  </si>
  <si>
    <t>2 - Sch: 40, Std, 40S</t>
  </si>
  <si>
    <t>2 - Sch: 80, XS, 80S</t>
  </si>
  <si>
    <t>2 - Sch: 160</t>
  </si>
  <si>
    <t>2 - Sch: XXS</t>
  </si>
  <si>
    <t>2 1/2 - Sch: 5S</t>
  </si>
  <si>
    <t>2 1/2 - Sch: 10S</t>
  </si>
  <si>
    <t>2 1/2 - Sch: 40, Std, 40S</t>
  </si>
  <si>
    <t>2 1/2 - Sch: 80, XS, 80S</t>
  </si>
  <si>
    <t>2 1/2 - Sch: 160</t>
  </si>
  <si>
    <t>2 1/2 - Sch: XXS</t>
  </si>
  <si>
    <t>3 - Sch: 5S</t>
  </si>
  <si>
    <t>3 - Sch: 10S</t>
  </si>
  <si>
    <t>3 - Sch: 40, Std, 40S</t>
  </si>
  <si>
    <t>3 - Sch: 80, XS, 80S</t>
  </si>
  <si>
    <t>3 - Sch: 160</t>
  </si>
  <si>
    <t>3 - Sch: XXS</t>
  </si>
  <si>
    <t>3 1/2 - Sch: 5S</t>
  </si>
  <si>
    <t>3 1/2 - Sch: 10S</t>
  </si>
  <si>
    <t>3 1/2 - Sch: 40, Std, 40S</t>
  </si>
  <si>
    <t>3 1/2 - Sch: 80, XS, 80S</t>
  </si>
  <si>
    <t>4 - Sch: 5S</t>
  </si>
  <si>
    <t>4 - Sch: 10S</t>
  </si>
  <si>
    <t>4 - Sch: 40, Std, 40S</t>
  </si>
  <si>
    <t>4 - Sch: 80, XS, 80S</t>
  </si>
  <si>
    <t>4 - Sch: 120</t>
  </si>
  <si>
    <t>4 - Sch: 160</t>
  </si>
  <si>
    <t>4 - Sch: XXS</t>
  </si>
  <si>
    <t>5 - Sch: 5S</t>
  </si>
  <si>
    <t>5 - Sch: 10S</t>
  </si>
  <si>
    <t>100% (1.00)</t>
  </si>
  <si>
    <t>87%  (0.87)</t>
  </si>
  <si>
    <t>74%  (0.74)</t>
  </si>
  <si>
    <t>62%  (0.62)</t>
  </si>
  <si>
    <t>49%  (0.49)</t>
  </si>
  <si>
    <t>Hitch</t>
  </si>
  <si>
    <t>Angles</t>
  </si>
  <si>
    <t>Capacity</t>
  </si>
  <si>
    <t>Synthetic Slings</t>
  </si>
  <si>
    <t>Data obtained from Manufacturers website and/or catalog information (April 2006)</t>
  </si>
  <si>
    <t>Total Load Weight:</t>
  </si>
  <si>
    <t>5 - Sch: 40, Std, 40S</t>
  </si>
  <si>
    <t>5 - Sch: 80, XS, 80S</t>
  </si>
  <si>
    <t>5 - Sch: 120</t>
  </si>
  <si>
    <t>5 - Sch: 160</t>
  </si>
  <si>
    <t>5 - Sch: XXS</t>
  </si>
  <si>
    <t>6 - Sch: 5S</t>
  </si>
  <si>
    <t>6 - Sch: 10S</t>
  </si>
  <si>
    <t>6 - Sch: 40, Std, 40S</t>
  </si>
  <si>
    <t>6 - Sch: 80, XS, 80S</t>
  </si>
  <si>
    <t>6 - Sch: 120</t>
  </si>
  <si>
    <t>6 - Sch: 160</t>
  </si>
  <si>
    <t>6 - Sch: XXS</t>
  </si>
  <si>
    <t>8 - Sch: 5S</t>
  </si>
  <si>
    <t>8 - Sch: 10S</t>
  </si>
  <si>
    <t>8 - Sch: 20</t>
  </si>
  <si>
    <t>8 - Sch: 30</t>
  </si>
  <si>
    <t>8 - Sch: 40, Std, 40S</t>
  </si>
  <si>
    <t>8 - Sch: 60</t>
  </si>
  <si>
    <t>8 - Sch: 80, XS, 80S</t>
  </si>
  <si>
    <t>8 - Sch: 100</t>
  </si>
  <si>
    <t>8 - Sch: 120</t>
  </si>
  <si>
    <t>8 - Sch: 140</t>
  </si>
  <si>
    <t>8 - Sch: XXS</t>
  </si>
  <si>
    <t>8 - Sch: 160</t>
  </si>
  <si>
    <t>10 - Sch: 5S</t>
  </si>
  <si>
    <t>10 - Sch: 10S</t>
  </si>
  <si>
    <t>10 - Sch: 20</t>
  </si>
  <si>
    <t>10 - Sch: 30</t>
  </si>
  <si>
    <t>10 - Sch: 40, Std, 40S</t>
  </si>
  <si>
    <t>10 - Sch: 60, XS, 80S</t>
  </si>
  <si>
    <t>10 - Sch: 80</t>
  </si>
  <si>
    <t>10 - Sch: 100</t>
  </si>
  <si>
    <t>10 - Sch: 120</t>
  </si>
  <si>
    <t>10 - Sch: 140</t>
  </si>
  <si>
    <t>10 - Sch: 160</t>
  </si>
  <si>
    <t>12 - Sch: 5S</t>
  </si>
  <si>
    <t>12 - Sch: 10S</t>
  </si>
  <si>
    <t>12 - Sch: 20</t>
  </si>
  <si>
    <t>12 - Sch: 30</t>
  </si>
  <si>
    <t>12 - Sch: Std, 40S</t>
  </si>
  <si>
    <t>MU Code</t>
  </si>
  <si>
    <t>-  MU Code</t>
  </si>
  <si>
    <t>DESC</t>
  </si>
  <si>
    <t>Single User Copy</t>
  </si>
  <si>
    <t>UNQ-ID#</t>
  </si>
  <si>
    <t>Enter date:</t>
  </si>
  <si>
    <t>CheckSum</t>
  </si>
  <si>
    <t>Multi User Copy (5 users)</t>
  </si>
  <si>
    <t>Order Number:</t>
  </si>
  <si>
    <t>Multi User Copy (10 users)</t>
  </si>
  <si>
    <t>Activation Code:</t>
  </si>
  <si>
    <t>Multi User Copy (20 users)</t>
  </si>
  <si>
    <t>Multi User Copy (50 users)</t>
  </si>
  <si>
    <t>Enter Name:</t>
  </si>
  <si>
    <t>Multi User Copy (100 users)</t>
  </si>
  <si>
    <t>Multi-User Code:</t>
  </si>
  <si>
    <t>-</t>
  </si>
  <si>
    <t>Date Check:</t>
  </si>
  <si>
    <t>Order Check:</t>
  </si>
  <si>
    <t>Activation Code Check:</t>
  </si>
  <si>
    <t>Start Date:</t>
  </si>
  <si>
    <t>End Date:</t>
  </si>
  <si>
    <t>Status:</t>
  </si>
  <si>
    <t>Days Remaining:</t>
  </si>
  <si>
    <t>0 = Not yet activated</t>
  </si>
  <si>
    <t>1 = means that it is a EVAL</t>
  </si>
  <si>
    <t>2 = Order no but not activated</t>
  </si>
  <si>
    <t xml:space="preserve">3 = Activated </t>
  </si>
  <si>
    <t>MASTERSWITCH:</t>
  </si>
  <si>
    <t xml:space="preserve"> 0 = unlocked</t>
  </si>
  <si>
    <t xml:space="preserve"> 1 = locked</t>
  </si>
  <si>
    <t>REGISTER</t>
  </si>
  <si>
    <t>Choker Hitch Reduction using two slings</t>
  </si>
  <si>
    <t>Choker Hitch Reduction using ONE sling</t>
  </si>
  <si>
    <t>12 - Sch: 40</t>
  </si>
  <si>
    <t>12 - Sch: XS, 80S</t>
  </si>
  <si>
    <t>12 - Sch: 60</t>
  </si>
  <si>
    <t>12 - Sch: 80</t>
  </si>
  <si>
    <t>12 - Sch: 100</t>
  </si>
  <si>
    <t>12 - Sch: 120</t>
  </si>
  <si>
    <t>12 - Sch: 140</t>
  </si>
  <si>
    <t>12 - Sch: 160</t>
  </si>
  <si>
    <t>14 - Sch: 10</t>
  </si>
  <si>
    <t>14 - Sch: 20</t>
  </si>
  <si>
    <t>14 - Sch: 30, Std</t>
  </si>
  <si>
    <t>14 - Sch: 40</t>
  </si>
  <si>
    <t>14 - Sch: XS</t>
  </si>
  <si>
    <t>per ASME B30.9: "The design factor for alloy steel chain slings shall be a minimum of 4 "</t>
  </si>
  <si>
    <t>14 - Sch: 60</t>
  </si>
  <si>
    <t>14 - Sch: 80</t>
  </si>
  <si>
    <t>14 - Sch: 100</t>
  </si>
  <si>
    <t>14 - Sch: 120</t>
  </si>
  <si>
    <t>14 - Sch: 140</t>
  </si>
  <si>
    <t>14 - Sch: 160</t>
  </si>
  <si>
    <t>16 - Sch: 10</t>
  </si>
  <si>
    <t>16 - Sch: 20</t>
  </si>
  <si>
    <t>16 - Sch: 30, Std</t>
  </si>
  <si>
    <t>16 - Sch: 40, XS</t>
  </si>
  <si>
    <t>16 - Sch: 60</t>
  </si>
  <si>
    <t>16 - Sch: 80</t>
  </si>
  <si>
    <t>16 - Sch: 100</t>
  </si>
  <si>
    <t>16 - Sch: 120</t>
  </si>
  <si>
    <t>http://www.slingmax.com</t>
  </si>
  <si>
    <t>TWIN-PATH® EXTRA SLING WITH COVERMAX® AND K-SPEC® Core Yarn</t>
  </si>
  <si>
    <t>Ratings based on straight pin diameter, one-half the sling width</t>
  </si>
  <si>
    <t>Data from ASME B30.9 - 2003</t>
  </si>
  <si>
    <t>Bskt 45 deg</t>
  </si>
  <si>
    <t>Bskt 30 deg</t>
  </si>
  <si>
    <t>Bskt 60 deg</t>
  </si>
  <si>
    <t>60° from horiz</t>
  </si>
  <si>
    <t>45° from horiz</t>
  </si>
  <si>
    <t>30° from horiz</t>
  </si>
  <si>
    <t>3 or 4  Leg Bridles OR Double Basket</t>
  </si>
  <si>
    <t>Rated Capacities taken from ASME B30-9, 2003</t>
  </si>
  <si>
    <t>2 Leg Bridle OR Single Basket</t>
  </si>
  <si>
    <t>3-4 Leg Dbl Bskt 30</t>
  </si>
  <si>
    <t>3-4 Leg Dbl Bskt 60</t>
  </si>
  <si>
    <t>3-4 Leg Dbl Bskt 45</t>
  </si>
  <si>
    <t>m-vert</t>
  </si>
  <si>
    <t>m-choker</t>
  </si>
  <si>
    <t>Field Notes go here</t>
  </si>
  <si>
    <t>m-2/b 60</t>
  </si>
  <si>
    <t>m-2/b 45</t>
  </si>
  <si>
    <t>m-2/b 30</t>
  </si>
  <si>
    <t>m-34/db 30</t>
  </si>
  <si>
    <t>m-34/db 60</t>
  </si>
  <si>
    <t>m-34/db 45</t>
  </si>
  <si>
    <t>Grade 80</t>
  </si>
  <si>
    <t>Grade 100</t>
  </si>
  <si>
    <t>16 - Sch: 140</t>
  </si>
  <si>
    <t>16 - Sch: 160</t>
  </si>
  <si>
    <t>18 - Sch: 10</t>
  </si>
  <si>
    <t>18 - Sch: 20</t>
  </si>
  <si>
    <t>18 - Sch: Std</t>
  </si>
  <si>
    <t>18 - Sch: 30</t>
  </si>
  <si>
    <t>18 - Sch: XS</t>
  </si>
  <si>
    <t>18 - Sch: 40</t>
  </si>
  <si>
    <t>18 - Sch: 60</t>
  </si>
  <si>
    <t>18 - Sch: 80</t>
  </si>
  <si>
    <t>18 - Sch: 100</t>
  </si>
  <si>
    <t>18 - Sch: 120</t>
  </si>
  <si>
    <t>18 - Sch: 140</t>
  </si>
  <si>
    <t>18 - Sch: 160</t>
  </si>
  <si>
    <t>20 - Sch: 10</t>
  </si>
  <si>
    <t>20 - Sch: 20, Std</t>
  </si>
  <si>
    <t>20 - Sch: 30, XS</t>
  </si>
  <si>
    <t>20 - Sch: 40</t>
  </si>
  <si>
    <t>20 - Sch: 60</t>
  </si>
  <si>
    <t>20 - Sch: 80</t>
  </si>
  <si>
    <t>20 - Sch: 100</t>
  </si>
  <si>
    <t>20 - Sch: 120</t>
  </si>
  <si>
    <t>20 - Sch: 140</t>
  </si>
  <si>
    <t>20 - Sch: 160</t>
  </si>
  <si>
    <t xml:space="preserve">24 - Sch: 10 </t>
  </si>
  <si>
    <t>24 - Sch: 20, Std</t>
  </si>
  <si>
    <t>24 - Sch: XS</t>
  </si>
  <si>
    <t>24 - Sch: 30</t>
  </si>
  <si>
    <t>24 - Sch: 40</t>
  </si>
  <si>
    <t>24 - Sch: 60</t>
  </si>
  <si>
    <t>24 - Sch: 80</t>
  </si>
  <si>
    <t>24 - Sch: 100</t>
  </si>
  <si>
    <t>24 - Sch: 120</t>
  </si>
  <si>
    <t>24 - Sch: 140</t>
  </si>
  <si>
    <t>24 - Sch: 160</t>
  </si>
  <si>
    <t>30 - Sch: 10</t>
  </si>
  <si>
    <t>30 - Sch: 20</t>
  </si>
  <si>
    <t>30 - Sch :30</t>
  </si>
  <si>
    <t>U.S. Pipe Dimension and Weight Data</t>
  </si>
  <si>
    <t>Nominal Pipe size - Pipe Schedule</t>
  </si>
  <si>
    <t>For Pump Casings and Valves</t>
  </si>
  <si>
    <t>lbs - cu. in.</t>
  </si>
  <si>
    <t>1-1/2" dia.  6x37 Wire Rope Sling - IPS, IWRC, MS</t>
  </si>
  <si>
    <t>WSTDA-WS1   Standard Specification for Synthetic WEB Slings</t>
  </si>
  <si>
    <t>RS Flag for Choker Hitches</t>
  </si>
  <si>
    <t>Min Pin</t>
  </si>
  <si>
    <t>Body Width</t>
  </si>
  <si>
    <t>Min Pin Dia:</t>
  </si>
  <si>
    <t>Min Basket Dia:</t>
  </si>
  <si>
    <t>Approx. Body Width:</t>
  </si>
  <si>
    <t>Min Pin (cm)</t>
  </si>
  <si>
    <t>Body Width(cm)</t>
  </si>
  <si>
    <t>Chain Slings</t>
  </si>
  <si>
    <t>9/32" (7 mm) Chain Sling Grade 80 Alloy Steel</t>
  </si>
  <si>
    <t>7/32" (5.5 mm) Chain Sling Grade 80 Alloy Steel</t>
  </si>
  <si>
    <t>5/16" (8 mm) Chain Sling Grade 80 Alloy Steel</t>
  </si>
  <si>
    <t>3/8" (10 mm) Chain Sling Grade 80 Alloy Steel</t>
  </si>
  <si>
    <t>1/2" (13 mm) Chain Sling Grade 80 Alloy Steel</t>
  </si>
  <si>
    <t>5/8" (16 mm) Chain Sling Grade 80 Alloy Steel</t>
  </si>
  <si>
    <t>3/4" (20 mm) Chain Sling Grade 80 Alloy Steel</t>
  </si>
  <si>
    <t>7/8" (22 mm) Chain Sling Grade 80 Alloy Steel</t>
  </si>
  <si>
    <t>1" (26 mm) Chain Sling Grade 80 Alloy Steel</t>
  </si>
  <si>
    <t>1-1/4" (32 mm) Chain Sling Grade 80 Alloy Steel</t>
  </si>
  <si>
    <t>7/32" (5.5 mm) Chain Sling Grade 100 Alloy Steel</t>
  </si>
  <si>
    <t>9/32" (7 mm) Chain Sling Grade 100 Alloy Steel</t>
  </si>
  <si>
    <t>5/16" (8 mm) Chain Sling Grade 100 Alloy Steel</t>
  </si>
  <si>
    <t>3/8" (10 mm) Chain Sling Grade 100 Alloy Steel</t>
  </si>
  <si>
    <t>1/2" (13 mm) Chain Sling Grade 100 Alloy Steel</t>
  </si>
  <si>
    <t>5/8" (16 mm) Chain Sling Grade 100 Alloy Steel</t>
  </si>
  <si>
    <t>3/4" (20 mm) Chain Sling Grade 100 Alloy Steel</t>
  </si>
  <si>
    <t>7/8" (22 mm) Chain Sling Grade 100 Alloy Steel</t>
  </si>
  <si>
    <t>ID#</t>
  </si>
  <si>
    <t>Release Number:</t>
  </si>
  <si>
    <t>Release Date:</t>
  </si>
  <si>
    <t>ISBN:</t>
  </si>
  <si>
    <t>978-1-8-8872411-0</t>
  </si>
  <si>
    <t>Registered to:</t>
  </si>
  <si>
    <t xml:space="preserve">Distributed and Licensed by: </t>
  </si>
  <si>
    <t>ACRA Enterprises, Inc.  Stevensville Michigan USA</t>
  </si>
  <si>
    <t>Page Help</t>
  </si>
  <si>
    <t>3/16" CARBON Screw Pin Anchor ( 1/3 t)</t>
  </si>
  <si>
    <t>Notes:</t>
  </si>
  <si>
    <t>1/4"CARBON Screw Pin Anchor ( 1/2 t)</t>
  </si>
  <si>
    <t>5/16"CARBON Screw Pin Anchor ( 3/4 t)</t>
  </si>
  <si>
    <t>3/8"CARBON Screw Pin Anchor (1 t)</t>
  </si>
  <si>
    <t>7/16"CARBON Screw Pin Anchor (1.5 t)</t>
  </si>
  <si>
    <t>1/2"CARBON Screw Pin Anchor (2 t)</t>
  </si>
  <si>
    <t>5/8"CARBON Screw Pin Anchor (3.25 t)</t>
  </si>
  <si>
    <t>3/4" CARBON Screw Pin Anchor (4.75 t)</t>
  </si>
  <si>
    <t>7/8"CARBON Screw Pin Anchor (6.5 t)</t>
  </si>
  <si>
    <t>1" CARBON Screw Pin Anchor (8.5 t)</t>
  </si>
  <si>
    <t>1-1/8"CARBON Screw Pin Anchor (9.5 t)</t>
  </si>
  <si>
    <t>1-1/4"CARBON Screw Pin Anchor (12 t)</t>
  </si>
  <si>
    <t>1-3/8" CARBON Screw Pin Anchor (13.5 t)</t>
  </si>
  <si>
    <t>1-1/2"CARBON Screw Pin Anchor (17 t)</t>
  </si>
  <si>
    <t>1-3/4" CARBON Screw Pin Anchor (25 t)</t>
  </si>
  <si>
    <t>2" CARBON Screw Pin Anchor (35 t)</t>
  </si>
  <si>
    <t>2-1/2" CARBON Screw Pin Anchor (55 t)</t>
  </si>
  <si>
    <t>Web 2" (RS# 2) Web Sling Shackle ( 3-1/4 t)</t>
  </si>
  <si>
    <t>Web 3" (RS # 3) Web Sling Shackle ( 4-1/2 t)</t>
  </si>
  <si>
    <t>Web 4" (RS #4) Web Sling Shackle ( 6-1/4 t)</t>
  </si>
  <si>
    <t>Web 6" (RS #6) Web Sling Shackle ( 8-1/2 t)</t>
  </si>
  <si>
    <t>Web 1" (RS# 1&amp;2) Web Sling Shackle ( 3-1/4 t)</t>
  </si>
  <si>
    <t>Web 1.5" (RS# 3&amp;4) Web Sling Shackle ( 6-1/2 t)</t>
  </si>
  <si>
    <t>Web 2" (RS# 5&amp;6) Web Sling Shackle ( 8-3/4 t)</t>
  </si>
  <si>
    <t>Web 3" (RS# 7&amp;8) Web Sling Shackle ( 12-1/2 t)</t>
  </si>
  <si>
    <t>Web 4" (RS# 9&amp;10) Web Sling Shackle ( 20-1/2 t)</t>
  </si>
  <si>
    <t>Web 5" (RS# 11&amp;12) Web Sling Shackle (35 t)</t>
  </si>
  <si>
    <t>Side Loading</t>
  </si>
  <si>
    <t>Web 6" (RS# 13) Web Sling Shackle (50 t)</t>
  </si>
  <si>
    <t>3/8" ALLOY Screw Pin Anchor (2 t)</t>
  </si>
  <si>
    <t>7/16" ALLOY Screw Pin Anchor (2 2/3 t)</t>
  </si>
  <si>
    <t>1/2" ALLOY Screw Pin Anchor (3 1/3 t)</t>
  </si>
  <si>
    <t>5/8" ALLOY Screw Pin Anchor (5 t)</t>
  </si>
  <si>
    <t>3/4"  ALLOY Screw Pin Anchor (7 t)</t>
  </si>
  <si>
    <t>7/8" ALLOY Screw Pin Anchor (9 1/2 t)</t>
  </si>
  <si>
    <t>1"  ALLOY Screw Pin Anchor (12 1/2 t)</t>
  </si>
  <si>
    <t>1-1/8" ALLOY Screw Pin Anchor (15 t)</t>
  </si>
  <si>
    <t>1-1/4" ALLOY Screw Pin Anchor (18 t)</t>
  </si>
  <si>
    <t>1-3/8"  ALLOY Screw Pin Anchor (21 t)</t>
  </si>
  <si>
    <t>1-1/2" ALLOY Bolt Type (30 t)</t>
  </si>
  <si>
    <t>1-3/4" ALLOY Bolt Type (40 t)</t>
  </si>
  <si>
    <t>2" ALLOY Bolt Type (55 t)</t>
  </si>
  <si>
    <t>2-1/2" ALLOY Bolt Type (85 t)</t>
  </si>
  <si>
    <t>3" ALLOY Bolt Type (120 t)</t>
  </si>
  <si>
    <t>3-1/2" ALLOY Bolt Type (150 t)</t>
  </si>
  <si>
    <t>4" ALLOY Bolt Type (175 t)</t>
  </si>
  <si>
    <t>4-3/4" ALLOY Bolt Type (200 t)</t>
  </si>
  <si>
    <t>5" ALLOY Bolt Type (250 t)</t>
  </si>
  <si>
    <t>6" ALLOY Bolt Type (300 t)</t>
  </si>
  <si>
    <t>7" ALLOY Bolt Type (400 t)</t>
  </si>
  <si>
    <t>Wide Body Shackle ( 30 metric tons)</t>
  </si>
  <si>
    <t>Wide Body Shackle ( 40 metric tons)</t>
  </si>
  <si>
    <t>Wide Body Shackle ( 55 metric tons)</t>
  </si>
  <si>
    <t>Wide Body Shackle ( 75 metric tons)</t>
  </si>
  <si>
    <t>Wide Body Shackle ( 125 metric tons)</t>
  </si>
  <si>
    <t>Wide Body Shackle ( 200 metric tons)</t>
  </si>
  <si>
    <t>Wide Body Shackle ( 300 metric tons)</t>
  </si>
  <si>
    <t>Wide Body Shackle ( 400 metric tons)</t>
  </si>
  <si>
    <t>Wide Body Shackle ( 500 metric tons)</t>
  </si>
  <si>
    <t>Wide Body Shackle ( 600 metric tons)</t>
  </si>
  <si>
    <t>Wide Body Shackle ( 700 metric tons)</t>
  </si>
  <si>
    <t>Wide Body Shackle ( 800 metric tons)</t>
  </si>
  <si>
    <t>Wide Body Shackle ( 900 metric tons)</t>
  </si>
  <si>
    <t>Wide Body Shackle ( 1000 metric tons)</t>
  </si>
  <si>
    <t>inside dist</t>
  </si>
  <si>
    <t>1/4" CARBON Screw Pin Chain ( 1/2 t)</t>
  </si>
  <si>
    <t>5/16" CARBON Screw Pin Chain ( 3/4 t)</t>
  </si>
  <si>
    <t>3/8" CARBON Screw Pin Chain (1 t)</t>
  </si>
  <si>
    <t>7/16" CARBON Screw Pin Chain (1.5 t)</t>
  </si>
  <si>
    <t>1/2" CARBON Screw Pin Chain (2 t)</t>
  </si>
  <si>
    <t>5/8" CARBON Screw Pin Chain (3.25 t)</t>
  </si>
  <si>
    <t>3/4"  CARBON Screw Pin Chain (4.75 t)</t>
  </si>
  <si>
    <t>7/8" CARBON Screw Pin Chain (6.5 t)</t>
  </si>
  <si>
    <t>1"  CARBON Screw Pin Chain (8.5 t)</t>
  </si>
  <si>
    <t>1-1/8" CARBON Screw Pin Chain (9.5 t)</t>
  </si>
  <si>
    <t>1-1/4" CARBON Screw Pin Chain (12 t)</t>
  </si>
  <si>
    <t>1-3/8"  CARBON Screw Pin Chain (13.5 t)</t>
  </si>
  <si>
    <t>1-1/2" CARBON Screw Pin Chain (17 t)</t>
  </si>
  <si>
    <t>1-3/4"  CARBON Screw Pin Chain (25 t)</t>
  </si>
  <si>
    <t>2"  CARBON Screw Pin Chain (35 t)</t>
  </si>
  <si>
    <t>2-1/2"  CARBON Screw Pin Chain (55 t)</t>
  </si>
  <si>
    <t>Lower shackle distance:</t>
  </si>
  <si>
    <t>Total leg length:</t>
  </si>
  <si>
    <t>NO SHACKLE</t>
  </si>
  <si>
    <t xml:space="preserve">7/32" (5.5 mm) Chain G80 - 2,100lb WLL </t>
  </si>
  <si>
    <t>5/16" (8mm) Chain G80 -  4,500lb WLL</t>
  </si>
  <si>
    <t>9/32" (7mm) Chain G80 - 3,500lb WLL</t>
  </si>
  <si>
    <t>3/8" (10 mm) Chain G80 - 7,100lb WLL</t>
  </si>
  <si>
    <t>1/2" (13mm) Chain G80 - 12,000lb WLL</t>
  </si>
  <si>
    <t>5/8" (16mm) Chain G80 - 18,100lb WLL</t>
  </si>
  <si>
    <t>3/4" (20mm) Chain G80 - 28,300lb WLL</t>
  </si>
  <si>
    <t>7/8" (22mm) Chain G80 - 34,200lb WLL</t>
  </si>
  <si>
    <t>1"  (26mm) Chain G80 - 47,700lb WLL</t>
  </si>
  <si>
    <t>1-1/4" (32mm) Chain G80 - 72,300lb WLL</t>
  </si>
  <si>
    <t>7/32" (5.5mm) Chain G100 - 2,700lb WLL</t>
  </si>
  <si>
    <t>9/32" (7mm) Chain G100 - 4,300lb WLL</t>
  </si>
  <si>
    <t>5/16" (8 mm) Chain G100 - 5,700lb WLL</t>
  </si>
  <si>
    <t>3/8" (10 mm) Chain G100 - 8,800lb WLL</t>
  </si>
  <si>
    <t>1/2" (13 mm) Chain G100 - 15,000lb WLL</t>
  </si>
  <si>
    <t>5/8" (16 mm)  Chain G100 - 22,600lb WLL</t>
  </si>
  <si>
    <t>3/4" (20 mm) Chain G100 - 35,300lb WLL</t>
  </si>
  <si>
    <t>7/8" (22 mm) Chain G100 - 42,700lb WLL</t>
  </si>
  <si>
    <t>No additonal length added for eyebolts or hoist rings</t>
  </si>
  <si>
    <t>PURPLE Roundsling (Size 1) ( EN30 ) Vertical WLL: 2600 lbs</t>
  </si>
  <si>
    <t>GREEN Roundsling (Size 2) ( EN60 ) Vertical WLL: 5300 lbs</t>
  </si>
  <si>
    <t>YELLOW Roundsling (Size 3) ( EN90 ) Vertical WLL: 8400 lbs</t>
  </si>
  <si>
    <t>TAN Roundsling (Size 4) ( EN120 ) Vertical WLL: 10600 lbs</t>
  </si>
  <si>
    <t>RED Roundsling  (Size 5) ( EN150 ) Vertical WLL: 13200 lbs</t>
  </si>
  <si>
    <t>WHITE Roundsling (Size 6) ( EN180 ) Vertical WLL: 16800 lbs</t>
  </si>
  <si>
    <t>BLUE Roundsling (Size 7) ( EN240 ) Vertical WLL: 21200 lbs</t>
  </si>
  <si>
    <t>ORANGE Roundsling (Size 8) ( EN360 ) Vertical WLL: 25000 lbs</t>
  </si>
  <si>
    <t>ORANGE Roundsling (Size 9) ( EN600 ) Vertical WLL: 31000 lbs</t>
  </si>
  <si>
    <t>ORANGE Roundsling (Size 10) ( EN800 ) Vertical WLL: 40000 lbs</t>
  </si>
  <si>
    <t>ORANGE Roundsling (Size 11) ( EN1000 ) Vertical WLL: 53000 lbs</t>
  </si>
  <si>
    <t>ORANGE Roundsling (Size 12) ( WSTDA ) Vertical WLL: 66000 lbs</t>
  </si>
  <si>
    <t>ORANGE Roundsling (Size 13) ( WSTDA ) Vertical WLL: 90000 lbs</t>
  </si>
  <si>
    <t>Roundsling data</t>
  </si>
  <si>
    <t>V</t>
  </si>
  <si>
    <t>Vertical / Choker</t>
  </si>
  <si>
    <t>Basket Hitch</t>
  </si>
  <si>
    <t>WSTDA Metric Values</t>
  </si>
  <si>
    <t>Calculated Pin (m)</t>
  </si>
  <si>
    <t>mm</t>
  </si>
  <si>
    <t>min pin</t>
  </si>
  <si>
    <t>Entering Data</t>
  </si>
  <si>
    <t>What the little buttons do:</t>
  </si>
  <si>
    <t>NOTE: the values shown above are for use with a SINGLE choker hitch ONLY!</t>
  </si>
  <si>
    <t>Pin Diameter:</t>
  </si>
  <si>
    <t xml:space="preserve">Minimum </t>
  </si>
  <si>
    <t>65°</t>
  </si>
  <si>
    <t>70°</t>
  </si>
  <si>
    <t>75°</t>
  </si>
  <si>
    <t>80°</t>
  </si>
  <si>
    <t>85°</t>
  </si>
  <si>
    <t>90°</t>
  </si>
  <si>
    <t>Tension Calculations "by the Book"</t>
  </si>
  <si>
    <t>Horizontal Angle:</t>
  </si>
  <si>
    <t>Rated</t>
  </si>
  <si>
    <t>a =</t>
  </si>
  <si>
    <t>b =</t>
  </si>
  <si>
    <t>c =</t>
  </si>
  <si>
    <t>Volume =</t>
  </si>
  <si>
    <t>cu. in.</t>
  </si>
  <si>
    <t>Weight =</t>
  </si>
  <si>
    <t>lbs.</t>
  </si>
  <si>
    <t>tons</t>
  </si>
  <si>
    <t xml:space="preserve">  Material type =</t>
  </si>
  <si>
    <t>Standard weights of typical materials</t>
  </si>
  <si>
    <t>Material</t>
  </si>
  <si>
    <t>Cu. ft</t>
  </si>
  <si>
    <t>Cu. Inch</t>
  </si>
  <si>
    <t>Aluminum</t>
  </si>
  <si>
    <t>Brass</t>
  </si>
  <si>
    <t>Brick masonry, common</t>
  </si>
  <si>
    <t>Bronze</t>
  </si>
  <si>
    <t>Cast Iron</t>
  </si>
  <si>
    <t>Cement, portland, loose</t>
  </si>
  <si>
    <t>Cement, portland, set</t>
  </si>
  <si>
    <t>Concrete, stone aggr.</t>
  </si>
  <si>
    <t>Copper</t>
  </si>
  <si>
    <t>Earth, dry</t>
  </si>
  <si>
    <t>Earth, wet</t>
  </si>
  <si>
    <t>Equipment hatchs</t>
  </si>
  <si>
    <t>Glass</t>
  </si>
  <si>
    <t>Ice</t>
  </si>
  <si>
    <t>Lead</t>
  </si>
  <si>
    <t>Snow, fresh fallen</t>
  </si>
  <si>
    <t>Snow, wet</t>
  </si>
  <si>
    <t>Steel</t>
  </si>
  <si>
    <t>Tin</t>
  </si>
  <si>
    <t>Water</t>
  </si>
  <si>
    <t>Gypsum wall board</t>
  </si>
  <si>
    <t>Wood, pine</t>
  </si>
  <si>
    <t>Custom #1</t>
  </si>
  <si>
    <t>Custom #3</t>
  </si>
  <si>
    <t>Stainless Steel</t>
  </si>
  <si>
    <t>C</t>
  </si>
  <si>
    <t>A</t>
  </si>
  <si>
    <t>B</t>
  </si>
  <si>
    <t>Feet</t>
  </si>
  <si>
    <t>Inches</t>
  </si>
  <si>
    <t>Mat. value</t>
  </si>
  <si>
    <t>H =</t>
  </si>
  <si>
    <t>D =</t>
  </si>
  <si>
    <t>D=</t>
  </si>
  <si>
    <t>d=</t>
  </si>
  <si>
    <t>h=</t>
  </si>
  <si>
    <t>a=</t>
  </si>
  <si>
    <t>Estimating Pump upper half casings</t>
  </si>
  <si>
    <t>B1</t>
  </si>
  <si>
    <t>B2</t>
  </si>
  <si>
    <t>B3</t>
  </si>
  <si>
    <t>D1</t>
  </si>
  <si>
    <t>D2</t>
  </si>
  <si>
    <t>X</t>
  </si>
  <si>
    <t>W</t>
  </si>
  <si>
    <t>Z</t>
  </si>
  <si>
    <t>lbs</t>
  </si>
  <si>
    <t>Shell Thick</t>
  </si>
  <si>
    <t>Approximate</t>
  </si>
  <si>
    <t>Weight</t>
  </si>
  <si>
    <t>D</t>
  </si>
  <si>
    <t>Full area</t>
  </si>
  <si>
    <t>Subtracted Area</t>
  </si>
  <si>
    <t>Total area =</t>
  </si>
  <si>
    <t>Material value</t>
  </si>
  <si>
    <t>lbs per Cu in</t>
  </si>
  <si>
    <t xml:space="preserve">Approximate </t>
  </si>
  <si>
    <t>A=</t>
  </si>
  <si>
    <t>inches</t>
  </si>
  <si>
    <t>t1=</t>
  </si>
  <si>
    <t>E=</t>
  </si>
  <si>
    <t>e=</t>
  </si>
  <si>
    <t>t2=</t>
  </si>
  <si>
    <t>F</t>
  </si>
  <si>
    <t>G</t>
  </si>
  <si>
    <t>1/4"</t>
  </si>
  <si>
    <t>5/16"</t>
  </si>
  <si>
    <t>3/8"</t>
  </si>
  <si>
    <t>7/16"</t>
  </si>
  <si>
    <t>1/2"</t>
  </si>
  <si>
    <t>5/8"</t>
  </si>
  <si>
    <t>7/8"</t>
  </si>
  <si>
    <t>1-1/8"</t>
  </si>
  <si>
    <t>1-1/4"</t>
  </si>
  <si>
    <t>1-1/2"</t>
  </si>
  <si>
    <t>1-3/4"</t>
  </si>
  <si>
    <t>2"</t>
  </si>
  <si>
    <t>2-1/2"</t>
  </si>
  <si>
    <t>3"</t>
  </si>
  <si>
    <t>3-1/2"</t>
  </si>
  <si>
    <t>4"</t>
  </si>
  <si>
    <t>90 deg</t>
  </si>
  <si>
    <t>45 deg</t>
  </si>
  <si>
    <t>h =</t>
  </si>
  <si>
    <t>Approximate weight =</t>
  </si>
  <si>
    <t>w =</t>
  </si>
  <si>
    <t>t1 =</t>
  </si>
  <si>
    <t>t2 =</t>
  </si>
  <si>
    <t>Ln =</t>
  </si>
  <si>
    <t>feet</t>
  </si>
  <si>
    <t>Vertical</t>
  </si>
  <si>
    <t>Choker</t>
  </si>
  <si>
    <t>Basket</t>
  </si>
  <si>
    <t>L =</t>
  </si>
  <si>
    <t>Convrt L-in</t>
  </si>
  <si>
    <t>Convrt D-in</t>
  </si>
  <si>
    <t>D1 =</t>
  </si>
  <si>
    <t>D2 =</t>
  </si>
  <si>
    <t>LA =</t>
  </si>
  <si>
    <t>LB =</t>
  </si>
  <si>
    <t>ANSI B30.9 name</t>
  </si>
  <si>
    <t>Synthetic Web Sling, Two Ply</t>
  </si>
  <si>
    <t>Synthetic Roundsling</t>
  </si>
  <si>
    <t>Wire rope slings 6X19, IWRC</t>
  </si>
  <si>
    <t>Array #</t>
  </si>
  <si>
    <t>width/dia</t>
  </si>
  <si>
    <t>Weight Calculations</t>
  </si>
  <si>
    <t>Cubes</t>
  </si>
  <si>
    <t>Cylinder</t>
  </si>
  <si>
    <t>INDEX PAGE</t>
  </si>
  <si>
    <t>Prism</t>
  </si>
  <si>
    <t>Hollow Cylinder</t>
  </si>
  <si>
    <t>Cone</t>
  </si>
  <si>
    <t>Fustum of a Cone</t>
  </si>
  <si>
    <t>Pyramid</t>
  </si>
  <si>
    <t>Fustum of a Pyramid</t>
  </si>
  <si>
    <t>Valve Bonnets</t>
  </si>
  <si>
    <t>"S" Dimension :</t>
  </si>
  <si>
    <t>"H" Dimension :</t>
  </si>
  <si>
    <t>Load Angle Factor:</t>
  </si>
  <si>
    <t>Angle</t>
  </si>
  <si>
    <t>LAF</t>
  </si>
  <si>
    <t>Load Weight:</t>
  </si>
  <si>
    <t>Sling Tension:</t>
  </si>
  <si>
    <t>lbs each sling</t>
  </si>
  <si>
    <t>Reference / Notes:</t>
  </si>
  <si>
    <t>d =</t>
  </si>
  <si>
    <t>(T) Wall Thickness</t>
  </si>
  <si>
    <t>(H) Length</t>
  </si>
  <si>
    <t>(D) Outside Diameter</t>
  </si>
  <si>
    <t>Cubic Inches</t>
  </si>
  <si>
    <t>total in</t>
  </si>
  <si>
    <t>(d) diameter =</t>
  </si>
  <si>
    <t>Sphere</t>
  </si>
  <si>
    <t>(b) base side 2 =</t>
  </si>
  <si>
    <t>(a) base side 1 =</t>
  </si>
  <si>
    <t>(c) top side 1 =</t>
  </si>
  <si>
    <t>(d) top side 2 =</t>
  </si>
  <si>
    <t>(h) height =</t>
  </si>
  <si>
    <t>Length</t>
  </si>
  <si>
    <t>degrees</t>
  </si>
  <si>
    <t>WLL</t>
  </si>
  <si>
    <t>EE2-801</t>
  </si>
  <si>
    <t>EE2-802</t>
  </si>
  <si>
    <t>EE2-803</t>
  </si>
  <si>
    <t>EE2-804</t>
  </si>
  <si>
    <t>EE2-805</t>
  </si>
  <si>
    <t>EE2-806</t>
  </si>
  <si>
    <t>EE2-808</t>
  </si>
  <si>
    <t>EE2-810</t>
  </si>
  <si>
    <t>EE2-812</t>
  </si>
  <si>
    <t>EN30</t>
  </si>
  <si>
    <t>EN60</t>
  </si>
  <si>
    <t>EN90</t>
  </si>
  <si>
    <t>EN120</t>
  </si>
  <si>
    <t>EN150</t>
  </si>
  <si>
    <t>EN180</t>
  </si>
  <si>
    <t>EN240</t>
  </si>
  <si>
    <t>EN360</t>
  </si>
  <si>
    <t>EN600</t>
  </si>
  <si>
    <t>EN800</t>
  </si>
  <si>
    <t>EN1000</t>
  </si>
  <si>
    <t>Displayed Name (in combo box)</t>
  </si>
  <si>
    <t>Twin-Path® (TPX 1000) Vertical WLL: 10,000 lbs</t>
  </si>
  <si>
    <t>Twin-Path® (TPX 1500) Vertical WLL: 15,000 lbs</t>
  </si>
  <si>
    <t>Twin-Path® (TPX 2000) Vertical WLL: 20,000 lbs</t>
  </si>
  <si>
    <t>Twin-Path® (TPX 2500) Vertical WLL: 25,000 lbs</t>
  </si>
  <si>
    <t>Twin-Path® (TPX 3000) Vertical WLL: 30,000 lbs</t>
  </si>
  <si>
    <t>Twin-Path® (TPX 4000) Vertical WLL: 40,000 lbs</t>
  </si>
  <si>
    <t>Twin-Path® (TPX 5000) Vertical WLL: 50,000 lbs</t>
  </si>
  <si>
    <t>Twin-Path® (TPX 6000) Vertical WLL: 60,000 lbs</t>
  </si>
  <si>
    <t>Twin-Path® (TPX 7000) Vertical WLL: 70,000 lbs</t>
  </si>
  <si>
    <t>Twin-Path® (TPX 8500) Vertical WLL: 85,000 lbs</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</si>
</sst>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4" formatCode="_(&quot;$&quot;* #,##0.00_);_(&quot;$&quot;* \(#,##0.00\);_(&quot;$&quot;* &quot;-&quot;??_);_(@_)"/>
    <numFmt numFmtId="43" formatCode="_(* #,##0.00_);_(* \(#,##0.00\);_(* &quot;-&quot;??_);_(@_)"/>
    <numFmt numFmtId="164" formatCode="0.0"/>
    <numFmt numFmtId="165" formatCode="#,##0.0_);\(#,##0.0\)"/>
    <numFmt numFmtId="166" formatCode="0.0000"/>
    <numFmt numFmtId="167" formatCode="0.00000000"/>
    <numFmt numFmtId="168" formatCode="#,##0.000_);\(#,##0.000\)"/>
    <numFmt numFmtId="169" formatCode="0.000"/>
    <numFmt numFmtId="170" formatCode="0.000000"/>
    <numFmt numFmtId="171" formatCode="#\ ?/2"/>
    <numFmt numFmtId="172" formatCode="_(* #,##0_);_(* \(#,##0\);_(* &quot;-&quot;??_);_(@_)"/>
    <numFmt numFmtId="173" formatCode="#\ ?/3"/>
    <numFmt numFmtId="174" formatCode="#\ ?/4"/>
    <numFmt numFmtId="175" formatCode="#,##0.000"/>
    <numFmt numFmtId="176" formatCode="[$-409]mmmm\ d\,\ yyyy;@"/>
    <numFmt numFmtId="177" formatCode="0000"/>
  </numFmts>
  <fonts count="111" x14ac:knownFonts="1">
    <font>
      <sz val="10"/>
      <name val="Arial"/>
    </font>
    <font>
      <sz val="10"/>
      <name val="Arial"/>
    </font>
    <font>
      <sz val="8"/>
      <name val="Tahoma"/>
      <family val="2"/>
    </font>
    <font>
      <b/>
      <sz val="14"/>
      <color indexed="12"/>
      <name val="Arial"/>
      <family val="2"/>
    </font>
    <font>
      <b/>
      <sz val="12"/>
      <name val="Arial"/>
    </font>
    <font>
      <b/>
      <sz val="12"/>
      <color indexed="12"/>
      <name val="Arial"/>
      <family val="2"/>
    </font>
    <font>
      <b/>
      <sz val="10"/>
      <name val="Arial"/>
    </font>
    <font>
      <b/>
      <sz val="12"/>
      <name val="Arial"/>
      <family val="2"/>
    </font>
    <font>
      <b/>
      <sz val="10"/>
      <color indexed="10"/>
      <name val="Arial"/>
      <family val="2"/>
    </font>
    <font>
      <b/>
      <sz val="10"/>
      <name val="Arial"/>
      <family val="2"/>
    </font>
    <font>
      <b/>
      <sz val="11"/>
      <color indexed="12"/>
      <name val="Arial"/>
      <family val="2"/>
    </font>
    <font>
      <b/>
      <sz val="11"/>
      <name val="Arial"/>
      <family val="2"/>
    </font>
    <font>
      <sz val="12"/>
      <name val="Arial"/>
      <family val="2"/>
    </font>
    <font>
      <u/>
      <sz val="10"/>
      <color indexed="12"/>
      <name val="Arial"/>
    </font>
    <font>
      <b/>
      <sz val="9"/>
      <name val="Arial"/>
      <family val="2"/>
    </font>
    <font>
      <sz val="8"/>
      <name val="Arial"/>
    </font>
    <font>
      <b/>
      <sz val="10"/>
      <color indexed="10"/>
      <name val="Arial"/>
    </font>
    <font>
      <b/>
      <sz val="12"/>
      <color indexed="10"/>
      <name val="Arial"/>
      <family val="2"/>
    </font>
    <font>
      <b/>
      <i/>
      <sz val="12"/>
      <name val="Arial"/>
    </font>
    <font>
      <b/>
      <sz val="10"/>
      <color indexed="12"/>
      <name val="Arial"/>
      <family val="2"/>
    </font>
    <font>
      <b/>
      <sz val="10"/>
      <color indexed="12"/>
      <name val="Arial"/>
    </font>
    <font>
      <b/>
      <i/>
      <sz val="10"/>
      <color indexed="12"/>
      <name val="Arial"/>
      <family val="2"/>
    </font>
    <font>
      <sz val="9"/>
      <name val="Arial"/>
      <family val="2"/>
    </font>
    <font>
      <sz val="10"/>
      <color indexed="12"/>
      <name val="Arial"/>
      <family val="2"/>
    </font>
    <font>
      <b/>
      <sz val="11"/>
      <color indexed="10"/>
      <name val="Arial"/>
      <family val="2"/>
    </font>
    <font>
      <sz val="10"/>
      <color indexed="8"/>
      <name val="Arial"/>
      <family val="2"/>
    </font>
    <font>
      <b/>
      <i/>
      <sz val="12"/>
      <color indexed="12"/>
      <name val="Arial"/>
    </font>
    <font>
      <b/>
      <sz val="8"/>
      <name val="Arial"/>
      <family val="2"/>
    </font>
    <font>
      <sz val="8"/>
      <name val="Arial"/>
      <family val="2"/>
    </font>
    <font>
      <i/>
      <sz val="10"/>
      <name val="Arial"/>
    </font>
    <font>
      <b/>
      <sz val="10"/>
      <color indexed="21"/>
      <name val="Arial"/>
      <family val="2"/>
    </font>
    <font>
      <b/>
      <sz val="10"/>
      <color indexed="13"/>
      <name val="Arial"/>
      <family val="2"/>
    </font>
    <font>
      <sz val="10"/>
      <color indexed="13"/>
      <name val="Arial"/>
      <family val="2"/>
    </font>
    <font>
      <b/>
      <sz val="10"/>
      <color indexed="8"/>
      <name val="Arial"/>
      <family val="2"/>
    </font>
    <font>
      <b/>
      <i/>
      <sz val="10"/>
      <name val="Arial"/>
      <family val="2"/>
    </font>
    <font>
      <b/>
      <sz val="14"/>
      <name val="Arial"/>
      <family val="2"/>
    </font>
    <font>
      <b/>
      <sz val="11"/>
      <name val="Arial"/>
    </font>
    <font>
      <sz val="11"/>
      <name val="Arial"/>
      <family val="2"/>
    </font>
    <font>
      <b/>
      <sz val="9"/>
      <color indexed="10"/>
      <name val="Arial"/>
      <family val="2"/>
    </font>
    <font>
      <b/>
      <u/>
      <sz val="10"/>
      <color indexed="12"/>
      <name val="Arial"/>
      <family val="2"/>
    </font>
    <font>
      <sz val="8"/>
      <color indexed="81"/>
      <name val="Tahoma"/>
    </font>
    <font>
      <b/>
      <sz val="8"/>
      <color indexed="81"/>
      <name val="Tahoma"/>
    </font>
    <font>
      <sz val="10"/>
      <name val="Arial"/>
      <family val="2"/>
    </font>
    <font>
      <b/>
      <sz val="10"/>
      <color indexed="9"/>
      <name val="Arial"/>
      <family val="2"/>
    </font>
    <font>
      <sz val="10"/>
      <color indexed="10"/>
      <name val="Arial"/>
    </font>
    <font>
      <sz val="7.5"/>
      <color indexed="8"/>
      <name val="Arial"/>
      <family val="2"/>
    </font>
    <font>
      <sz val="10"/>
      <color indexed="8"/>
      <name val="Arial"/>
    </font>
    <font>
      <b/>
      <i/>
      <sz val="10"/>
      <color indexed="23"/>
      <name val="Arial"/>
      <family val="2"/>
    </font>
    <font>
      <b/>
      <sz val="7.5"/>
      <name val="Arial"/>
      <family val="2"/>
    </font>
    <font>
      <b/>
      <sz val="7.5"/>
      <color indexed="8"/>
      <name val="Arial"/>
      <family val="2"/>
    </font>
    <font>
      <b/>
      <sz val="7.5"/>
      <name val="Arial"/>
    </font>
    <font>
      <i/>
      <sz val="10"/>
      <name val="Arial"/>
      <family val="2"/>
    </font>
    <font>
      <b/>
      <i/>
      <sz val="11"/>
      <color indexed="10"/>
      <name val="Arial"/>
      <family val="2"/>
    </font>
    <font>
      <b/>
      <sz val="16"/>
      <name val="Arial"/>
      <family val="2"/>
    </font>
    <font>
      <b/>
      <sz val="8"/>
      <color indexed="81"/>
      <name val="Tahoma"/>
      <family val="2"/>
    </font>
    <font>
      <b/>
      <i/>
      <sz val="10"/>
      <color indexed="55"/>
      <name val="Arial"/>
      <family val="2"/>
    </font>
    <font>
      <sz val="10"/>
      <color indexed="9"/>
      <name val="Arial"/>
    </font>
    <font>
      <b/>
      <i/>
      <sz val="9"/>
      <name val="Arial"/>
      <family val="2"/>
    </font>
    <font>
      <b/>
      <u/>
      <sz val="14"/>
      <color indexed="12"/>
      <name val="Arial"/>
      <family val="2"/>
    </font>
    <font>
      <b/>
      <sz val="18"/>
      <name val="Arial"/>
      <family val="2"/>
    </font>
    <font>
      <sz val="10"/>
      <color indexed="81"/>
      <name val="Tahoma"/>
    </font>
    <font>
      <b/>
      <sz val="10"/>
      <color indexed="81"/>
      <name val="Tahoma"/>
    </font>
    <font>
      <b/>
      <sz val="11"/>
      <color indexed="9"/>
      <name val="Arial"/>
      <family val="2"/>
    </font>
    <font>
      <b/>
      <sz val="11"/>
      <color indexed="9"/>
      <name val="Arial"/>
    </font>
    <font>
      <b/>
      <sz val="9"/>
      <color indexed="9"/>
      <name val="Arial"/>
    </font>
    <font>
      <b/>
      <i/>
      <sz val="11"/>
      <name val="Arial"/>
      <family val="2"/>
    </font>
    <font>
      <i/>
      <sz val="9"/>
      <name val="Arial"/>
      <family val="2"/>
    </font>
    <font>
      <sz val="10"/>
      <color indexed="9"/>
      <name val="Arial"/>
      <family val="2"/>
    </font>
    <font>
      <b/>
      <i/>
      <sz val="8"/>
      <name val="Arial"/>
      <family val="2"/>
    </font>
    <font>
      <sz val="8"/>
      <color indexed="9"/>
      <name val="Arial"/>
    </font>
    <font>
      <b/>
      <sz val="10"/>
      <name val="Verdana"/>
      <family val="2"/>
    </font>
    <font>
      <b/>
      <i/>
      <sz val="10"/>
      <name val="Verdana"/>
      <family val="2"/>
    </font>
    <font>
      <b/>
      <i/>
      <vertAlign val="subscript"/>
      <sz val="10"/>
      <name val="Verdana"/>
      <family val="2"/>
    </font>
    <font>
      <sz val="8"/>
      <name val="Verdana"/>
      <family val="2"/>
    </font>
    <font>
      <vertAlign val="superscript"/>
      <sz val="8"/>
      <name val="Verdana"/>
      <family val="2"/>
    </font>
    <font>
      <sz val="10"/>
      <name val="Verdana"/>
      <family val="2"/>
    </font>
    <font>
      <sz val="10"/>
      <name val="Arial"/>
    </font>
    <font>
      <vertAlign val="superscript"/>
      <sz val="10"/>
      <name val="Verdana"/>
      <family val="2"/>
    </font>
    <font>
      <vertAlign val="subscript"/>
      <sz val="10"/>
      <name val="Verdana"/>
      <family val="2"/>
    </font>
    <font>
      <sz val="18"/>
      <name val="Arial"/>
    </font>
    <font>
      <b/>
      <i/>
      <sz val="10"/>
      <color indexed="57"/>
      <name val="Arial"/>
      <family val="2"/>
    </font>
    <font>
      <b/>
      <sz val="11"/>
      <color indexed="57"/>
      <name val="Arial"/>
      <family val="2"/>
    </font>
    <font>
      <b/>
      <sz val="9"/>
      <color indexed="10"/>
      <name val="Arial"/>
    </font>
    <font>
      <sz val="9"/>
      <color indexed="23"/>
      <name val="Verdana"/>
      <family val="2"/>
    </font>
    <font>
      <b/>
      <i/>
      <sz val="14"/>
      <name val="Arial"/>
      <family val="2"/>
    </font>
    <font>
      <b/>
      <sz val="14"/>
      <name val="Arial"/>
    </font>
    <font>
      <b/>
      <sz val="9"/>
      <color indexed="12"/>
      <name val="Arial"/>
      <family val="2"/>
    </font>
    <font>
      <b/>
      <i/>
      <sz val="9"/>
      <color indexed="10"/>
      <name val="Arial"/>
      <family val="2"/>
    </font>
    <font>
      <sz val="9"/>
      <name val="Arial"/>
    </font>
    <font>
      <sz val="14"/>
      <name val="Arial"/>
    </font>
    <font>
      <sz val="8"/>
      <color indexed="61"/>
      <name val="Arial"/>
    </font>
    <font>
      <b/>
      <sz val="10"/>
      <color indexed="10"/>
      <name val="Tahoma"/>
      <family val="2"/>
    </font>
    <font>
      <i/>
      <sz val="8"/>
      <name val="Arial"/>
      <family val="2"/>
    </font>
    <font>
      <sz val="10"/>
      <color indexed="23"/>
      <name val="Arial"/>
      <family val="2"/>
    </font>
    <font>
      <sz val="9"/>
      <color indexed="23"/>
      <name val="Arial"/>
    </font>
    <font>
      <b/>
      <i/>
      <sz val="8"/>
      <color indexed="23"/>
      <name val="Arial"/>
      <family val="2"/>
    </font>
    <font>
      <b/>
      <sz val="11"/>
      <color indexed="10"/>
      <name val="Arial"/>
    </font>
    <font>
      <sz val="11"/>
      <name val="Arial"/>
    </font>
    <font>
      <b/>
      <sz val="9"/>
      <color indexed="9"/>
      <name val="Arial"/>
      <family val="2"/>
    </font>
    <font>
      <b/>
      <sz val="9"/>
      <color indexed="9"/>
      <name val="Wingdings"/>
      <charset val="2"/>
    </font>
    <font>
      <sz val="11"/>
      <color indexed="9"/>
      <name val="Arial"/>
      <family val="2"/>
    </font>
    <font>
      <sz val="10"/>
      <color indexed="12"/>
      <name val="Arial"/>
    </font>
    <font>
      <sz val="16"/>
      <name val="Arial"/>
      <family val="2"/>
    </font>
    <font>
      <b/>
      <sz val="10"/>
      <color indexed="61"/>
      <name val="Arial"/>
      <family val="2"/>
    </font>
    <font>
      <sz val="10"/>
      <color indexed="13"/>
      <name val="Arial"/>
    </font>
    <font>
      <b/>
      <sz val="8"/>
      <color indexed="8"/>
      <name val="Arial"/>
      <family val="2"/>
    </font>
    <font>
      <b/>
      <sz val="9"/>
      <color indexed="53"/>
      <name val="Arial"/>
      <family val="2"/>
    </font>
    <font>
      <b/>
      <i/>
      <sz val="10"/>
      <color indexed="10"/>
      <name val="Arial"/>
      <family val="2"/>
    </font>
    <font>
      <b/>
      <i/>
      <sz val="10"/>
      <color indexed="8"/>
      <name val="Arial"/>
      <family val="2"/>
    </font>
    <font>
      <b/>
      <i/>
      <sz val="12"/>
      <color indexed="48"/>
      <name val="Arial"/>
      <family val="2"/>
    </font>
    <font>
      <sz val="8"/>
      <color indexed="81"/>
      <name val="Tahoma"/>
      <family val="2"/>
    </font>
  </fonts>
  <fills count="22">
    <fill>
      <patternFill patternType="none"/>
    </fill>
    <fill>
      <patternFill patternType="gray125"/>
    </fill>
    <fill>
      <patternFill patternType="solid">
        <fgColor indexed="22"/>
        <bgColor indexed="64"/>
      </patternFill>
    </fill>
    <fill>
      <patternFill patternType="solid">
        <fgColor indexed="31"/>
        <bgColor indexed="64"/>
      </patternFill>
    </fill>
    <fill>
      <patternFill patternType="solid">
        <fgColor indexed="9"/>
        <bgColor indexed="64"/>
      </patternFill>
    </fill>
    <fill>
      <patternFill patternType="solid">
        <fgColor indexed="13"/>
        <bgColor indexed="64"/>
      </patternFill>
    </fill>
    <fill>
      <patternFill patternType="solid">
        <fgColor indexed="43"/>
        <bgColor indexed="64"/>
      </patternFill>
    </fill>
    <fill>
      <patternFill patternType="solid">
        <fgColor indexed="52"/>
        <bgColor indexed="64"/>
      </patternFill>
    </fill>
    <fill>
      <patternFill patternType="solid">
        <fgColor indexed="53"/>
        <bgColor indexed="64"/>
      </patternFill>
    </fill>
    <fill>
      <patternFill patternType="solid">
        <fgColor indexed="11"/>
        <bgColor indexed="64"/>
      </patternFill>
    </fill>
    <fill>
      <patternFill patternType="solid">
        <fgColor indexed="8"/>
        <bgColor indexed="64"/>
      </patternFill>
    </fill>
    <fill>
      <patternFill patternType="solid">
        <fgColor indexed="45"/>
        <bgColor indexed="64"/>
      </patternFill>
    </fill>
    <fill>
      <patternFill patternType="solid">
        <fgColor indexed="42"/>
        <bgColor indexed="64"/>
      </patternFill>
    </fill>
    <fill>
      <patternFill patternType="solid">
        <fgColor indexed="41"/>
        <bgColor indexed="64"/>
      </patternFill>
    </fill>
    <fill>
      <patternFill patternType="solid">
        <fgColor indexed="44"/>
        <bgColor indexed="64"/>
      </patternFill>
    </fill>
    <fill>
      <patternFill patternType="solid">
        <fgColor indexed="41"/>
        <bgColor indexed="31"/>
      </patternFill>
    </fill>
    <fill>
      <patternFill patternType="solid">
        <fgColor indexed="12"/>
        <bgColor indexed="64"/>
      </patternFill>
    </fill>
    <fill>
      <patternFill patternType="solid">
        <fgColor indexed="26"/>
        <bgColor indexed="64"/>
      </patternFill>
    </fill>
    <fill>
      <patternFill patternType="solid">
        <fgColor indexed="47"/>
        <bgColor indexed="64"/>
      </patternFill>
    </fill>
    <fill>
      <patternFill patternType="solid">
        <fgColor indexed="40"/>
        <bgColor indexed="64"/>
      </patternFill>
    </fill>
    <fill>
      <patternFill patternType="solid">
        <fgColor indexed="51"/>
        <bgColor indexed="64"/>
      </patternFill>
    </fill>
    <fill>
      <patternFill patternType="solid">
        <fgColor indexed="10"/>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ck">
        <color indexed="64"/>
      </top>
      <bottom/>
      <diagonal/>
    </border>
    <border>
      <left style="medium">
        <color indexed="64"/>
      </left>
      <right style="medium">
        <color indexed="64"/>
      </right>
      <top style="thick">
        <color indexed="64"/>
      </top>
      <bottom/>
      <diagonal/>
    </border>
    <border>
      <left style="medium">
        <color indexed="64"/>
      </left>
      <right/>
      <top style="thick">
        <color indexed="64"/>
      </top>
      <bottom/>
      <diagonal/>
    </border>
    <border>
      <left style="medium">
        <color indexed="10"/>
      </left>
      <right style="medium">
        <color indexed="64"/>
      </right>
      <top style="thick">
        <color indexed="64"/>
      </top>
      <bottom/>
      <diagonal/>
    </border>
    <border>
      <left style="medium">
        <color indexed="64"/>
      </left>
      <right style="medium">
        <color indexed="64"/>
      </right>
      <top/>
      <bottom/>
      <diagonal/>
    </border>
    <border>
      <left style="medium">
        <color indexed="10"/>
      </left>
      <right style="medium">
        <color indexed="64"/>
      </right>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10"/>
      </left>
      <right style="medium">
        <color indexed="64"/>
      </right>
      <top/>
      <bottom style="medium">
        <color indexed="64"/>
      </bottom>
      <diagonal/>
    </border>
    <border>
      <left/>
      <right/>
      <top style="medium">
        <color indexed="64"/>
      </top>
      <bottom/>
      <diagonal/>
    </border>
    <border>
      <left/>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medium">
        <color indexed="10"/>
      </left>
      <right style="medium">
        <color indexed="64"/>
      </right>
      <top style="thick">
        <color indexed="64"/>
      </top>
      <bottom style="medium">
        <color indexed="64"/>
      </bottom>
      <diagonal/>
    </border>
    <border>
      <left/>
      <right/>
      <top/>
      <bottom style="thin">
        <color indexed="64"/>
      </bottom>
      <diagonal/>
    </border>
    <border>
      <left style="medium">
        <color indexed="10"/>
      </left>
      <right/>
      <top style="thick">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10"/>
      </left>
      <right style="medium">
        <color indexed="64"/>
      </right>
      <top style="medium">
        <color indexed="64"/>
      </top>
      <bottom/>
      <diagonal/>
    </border>
    <border>
      <left/>
      <right style="medium">
        <color indexed="64"/>
      </right>
      <top style="thick">
        <color indexed="64"/>
      </top>
      <bottom style="medium">
        <color indexed="64"/>
      </bottom>
      <diagonal/>
    </border>
    <border>
      <left style="medium">
        <color indexed="10"/>
      </left>
      <right/>
      <top/>
      <bottom/>
      <diagonal/>
    </border>
    <border>
      <left style="medium">
        <color indexed="10"/>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10"/>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top style="thin">
        <color indexed="8"/>
      </top>
      <bottom style="thin">
        <color indexed="64"/>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alignment vertical="top"/>
      <protection locked="0"/>
    </xf>
  </cellStyleXfs>
  <cellXfs count="1004">
    <xf numFmtId="0" fontId="0" fillId="0" borderId="0" xfId="0"/>
    <xf numFmtId="0" fontId="0" fillId="2" borderId="0" xfId="0" applyFill="1"/>
    <xf numFmtId="0" fontId="0" fillId="0" borderId="1" xfId="0" applyBorder="1" applyAlignment="1">
      <alignment horizontal="center"/>
    </xf>
    <xf numFmtId="0" fontId="0" fillId="0" borderId="1" xfId="0" applyBorder="1"/>
    <xf numFmtId="2" fontId="0" fillId="0" borderId="0" xfId="0" applyNumberFormat="1"/>
    <xf numFmtId="0" fontId="0" fillId="0" borderId="2" xfId="0" applyBorder="1"/>
    <xf numFmtId="0" fontId="0" fillId="0" borderId="3" xfId="0" applyBorder="1"/>
    <xf numFmtId="0" fontId="0" fillId="0" borderId="0" xfId="0" applyAlignment="1">
      <alignment horizontal="center"/>
    </xf>
    <xf numFmtId="0" fontId="9" fillId="0" borderId="0" xfId="0" applyFont="1" applyAlignment="1">
      <alignment horizontal="center"/>
    </xf>
    <xf numFmtId="0" fontId="0" fillId="0" borderId="0" xfId="0" applyFill="1"/>
    <xf numFmtId="0" fontId="18" fillId="0" borderId="0" xfId="0" applyFont="1" applyFill="1" applyBorder="1" applyAlignment="1">
      <alignment horizontal="centerContinuous"/>
    </xf>
    <xf numFmtId="0" fontId="29" fillId="0" borderId="0" xfId="0" applyFont="1" applyFill="1" applyBorder="1" applyAlignment="1">
      <alignment horizontal="centerContinuous"/>
    </xf>
    <xf numFmtId="0" fontId="0" fillId="0" borderId="0" xfId="0" applyFill="1" applyBorder="1"/>
    <xf numFmtId="0" fontId="6" fillId="0" borderId="0" xfId="0" applyFont="1" applyFill="1" applyBorder="1" applyAlignment="1">
      <alignment horizontal="center"/>
    </xf>
    <xf numFmtId="0" fontId="0" fillId="0" borderId="0" xfId="0" applyFill="1" applyBorder="1" applyAlignment="1">
      <alignment horizontal="center"/>
    </xf>
    <xf numFmtId="0" fontId="6" fillId="0" borderId="0" xfId="0" applyFont="1" applyFill="1" applyBorder="1" applyAlignment="1">
      <alignment horizontal="right"/>
    </xf>
    <xf numFmtId="37" fontId="0" fillId="0" borderId="0" xfId="0" applyNumberFormat="1" applyFill="1" applyBorder="1"/>
    <xf numFmtId="0" fontId="18" fillId="0" borderId="0" xfId="0" applyFont="1" applyFill="1" applyBorder="1" applyAlignment="1"/>
    <xf numFmtId="0" fontId="29" fillId="0" borderId="0" xfId="0" applyFont="1" applyFill="1" applyBorder="1" applyAlignment="1"/>
    <xf numFmtId="0" fontId="29" fillId="0" borderId="0" xfId="0" applyFont="1" applyFill="1" applyBorder="1" applyAlignment="1">
      <alignment horizontal="center"/>
    </xf>
    <xf numFmtId="37" fontId="6" fillId="0" borderId="0" xfId="0" applyNumberFormat="1" applyFont="1" applyFill="1" applyBorder="1" applyAlignment="1">
      <alignment horizontal="center"/>
    </xf>
    <xf numFmtId="37" fontId="6" fillId="0" borderId="0" xfId="0" applyNumberFormat="1" applyFont="1" applyBorder="1" applyAlignment="1">
      <alignment horizontal="center"/>
    </xf>
    <xf numFmtId="0" fontId="6" fillId="3" borderId="0" xfId="0" applyFont="1" applyFill="1" applyAlignment="1">
      <alignment horizontal="center"/>
    </xf>
    <xf numFmtId="0" fontId="0" fillId="0" borderId="0" xfId="0" applyProtection="1">
      <protection locked="0"/>
    </xf>
    <xf numFmtId="0" fontId="13" fillId="4" borderId="0" xfId="3" applyFill="1" applyAlignment="1" applyProtection="1"/>
    <xf numFmtId="0" fontId="0" fillId="4" borderId="0" xfId="0" applyFill="1"/>
    <xf numFmtId="0" fontId="13" fillId="4" borderId="0" xfId="3" applyFont="1" applyFill="1" applyAlignment="1" applyProtection="1"/>
    <xf numFmtId="0" fontId="14" fillId="4" borderId="0" xfId="0" applyFont="1" applyFill="1" applyAlignment="1">
      <alignment horizontal="left"/>
    </xf>
    <xf numFmtId="0" fontId="36" fillId="4" borderId="0" xfId="0" applyFont="1" applyFill="1" applyAlignment="1">
      <alignment horizontal="right"/>
    </xf>
    <xf numFmtId="0" fontId="6" fillId="4" borderId="0" xfId="0" applyFont="1" applyFill="1" applyAlignment="1">
      <alignment horizontal="center"/>
    </xf>
    <xf numFmtId="0" fontId="14" fillId="4" borderId="0" xfId="0" applyFont="1" applyFill="1" applyAlignment="1">
      <alignment horizontal="right"/>
    </xf>
    <xf numFmtId="0" fontId="37" fillId="4" borderId="0" xfId="0" applyFont="1" applyFill="1"/>
    <xf numFmtId="164" fontId="6" fillId="4" borderId="0" xfId="0" applyNumberFormat="1" applyFont="1" applyFill="1" applyAlignment="1">
      <alignment horizontal="center"/>
    </xf>
    <xf numFmtId="0" fontId="9" fillId="4" borderId="0" xfId="0" applyFont="1" applyFill="1" applyBorder="1" applyAlignment="1">
      <alignment horizontal="left" vertical="center"/>
    </xf>
    <xf numFmtId="0" fontId="9" fillId="4" borderId="0" xfId="0" applyFont="1" applyFill="1" applyBorder="1" applyAlignment="1">
      <alignment horizontal="centerContinuous" vertical="center"/>
    </xf>
    <xf numFmtId="0" fontId="0" fillId="4" borderId="0" xfId="0" applyFill="1" applyProtection="1">
      <protection locked="0"/>
    </xf>
    <xf numFmtId="0" fontId="0" fillId="4" borderId="0" xfId="0" applyFill="1" applyBorder="1" applyAlignment="1" applyProtection="1">
      <protection locked="0"/>
    </xf>
    <xf numFmtId="0" fontId="11" fillId="4" borderId="0" xfId="0" applyFont="1" applyFill="1" applyBorder="1" applyAlignment="1">
      <alignment horizontal="right" vertical="center"/>
    </xf>
    <xf numFmtId="0" fontId="0" fillId="4" borderId="0" xfId="0" applyFill="1" applyBorder="1" applyAlignment="1"/>
    <xf numFmtId="0" fontId="27" fillId="4" borderId="0" xfId="0" applyFont="1" applyFill="1" applyBorder="1" applyAlignment="1">
      <alignment horizontal="left" vertical="center"/>
    </xf>
    <xf numFmtId="166" fontId="0" fillId="4" borderId="0" xfId="0" applyNumberFormat="1" applyFill="1" applyAlignment="1" applyProtection="1">
      <alignment horizontal="center"/>
    </xf>
    <xf numFmtId="0" fontId="0" fillId="4" borderId="0" xfId="0" applyFill="1" applyAlignment="1" applyProtection="1">
      <alignment horizontal="left"/>
      <protection locked="0"/>
    </xf>
    <xf numFmtId="0" fontId="9" fillId="4" borderId="0" xfId="0" applyFont="1" applyFill="1" applyAlignment="1">
      <alignment horizontal="right"/>
    </xf>
    <xf numFmtId="0" fontId="10" fillId="4" borderId="0" xfId="0" applyFont="1" applyFill="1" applyBorder="1" applyAlignment="1" applyProtection="1">
      <alignment horizontal="center"/>
      <protection locked="0"/>
    </xf>
    <xf numFmtId="0" fontId="10" fillId="4" borderId="0" xfId="0" applyFont="1" applyFill="1"/>
    <xf numFmtId="0" fontId="11" fillId="4" borderId="0" xfId="0" applyFont="1" applyFill="1" applyAlignment="1">
      <alignment horizontal="center"/>
    </xf>
    <xf numFmtId="0" fontId="12" fillId="4" borderId="1" xfId="0" applyFont="1" applyFill="1" applyBorder="1" applyAlignment="1">
      <alignment horizontal="center"/>
    </xf>
    <xf numFmtId="0" fontId="12" fillId="4" borderId="1" xfId="0" applyFont="1" applyFill="1" applyBorder="1"/>
    <xf numFmtId="2" fontId="12" fillId="4" borderId="1" xfId="0" applyNumberFormat="1" applyFont="1" applyFill="1" applyBorder="1"/>
    <xf numFmtId="166" fontId="12" fillId="4" borderId="1" xfId="0" applyNumberFormat="1" applyFont="1" applyFill="1" applyBorder="1"/>
    <xf numFmtId="166" fontId="0" fillId="4" borderId="0" xfId="0" applyNumberFormat="1" applyFill="1"/>
    <xf numFmtId="0" fontId="9" fillId="4" borderId="0" xfId="0" applyFont="1" applyFill="1" applyBorder="1" applyAlignment="1">
      <alignment horizontal="right"/>
    </xf>
    <xf numFmtId="0" fontId="0" fillId="4" borderId="0" xfId="0" applyFill="1" applyAlignment="1" applyProtection="1">
      <alignment horizontal="center"/>
      <protection hidden="1"/>
    </xf>
    <xf numFmtId="0" fontId="14" fillId="4" borderId="0" xfId="0" applyFont="1" applyFill="1" applyAlignment="1" applyProtection="1">
      <alignment horizontal="center"/>
      <protection hidden="1"/>
    </xf>
    <xf numFmtId="1" fontId="0" fillId="4" borderId="0" xfId="0" applyNumberFormat="1" applyFill="1" applyAlignment="1" applyProtection="1">
      <alignment horizontal="center"/>
      <protection hidden="1"/>
    </xf>
    <xf numFmtId="0" fontId="0" fillId="4" borderId="0" xfId="0" applyFill="1" applyAlignment="1" applyProtection="1">
      <alignment horizontal="center"/>
      <protection locked="0" hidden="1"/>
    </xf>
    <xf numFmtId="0" fontId="0" fillId="4" borderId="0" xfId="0" applyFill="1" applyProtection="1"/>
    <xf numFmtId="0" fontId="4" fillId="4" borderId="0" xfId="0" applyFont="1" applyFill="1" applyAlignment="1">
      <alignment horizontal="right"/>
    </xf>
    <xf numFmtId="0" fontId="10" fillId="5" borderId="4" xfId="0" applyFont="1" applyFill="1" applyBorder="1" applyAlignment="1" applyProtection="1">
      <alignment horizontal="center"/>
      <protection locked="0"/>
    </xf>
    <xf numFmtId="0" fontId="35" fillId="4" borderId="0" xfId="0" applyFont="1" applyFill="1"/>
    <xf numFmtId="0" fontId="34" fillId="4" borderId="0" xfId="0" applyFont="1" applyFill="1"/>
    <xf numFmtId="0" fontId="11" fillId="4" borderId="0" xfId="0" applyFont="1" applyFill="1" applyAlignment="1" applyProtection="1">
      <alignment horizontal="center"/>
      <protection hidden="1"/>
    </xf>
    <xf numFmtId="0" fontId="14" fillId="4" borderId="0" xfId="0" applyFont="1" applyFill="1" applyAlignment="1" applyProtection="1">
      <alignment horizontal="left"/>
      <protection hidden="1"/>
    </xf>
    <xf numFmtId="0" fontId="9" fillId="4" borderId="0" xfId="0" applyFont="1" applyFill="1" applyBorder="1" applyAlignment="1" applyProtection="1">
      <alignment horizontal="left" vertical="center"/>
      <protection hidden="1"/>
    </xf>
    <xf numFmtId="0" fontId="27" fillId="4" borderId="0" xfId="0" applyFont="1" applyFill="1" applyBorder="1" applyAlignment="1" applyProtection="1">
      <alignment horizontal="left" vertical="center"/>
      <protection hidden="1"/>
    </xf>
    <xf numFmtId="0" fontId="30" fillId="4" borderId="0" xfId="0" applyFont="1" applyFill="1" applyAlignment="1">
      <alignment horizontal="left"/>
    </xf>
    <xf numFmtId="0" fontId="6" fillId="4" borderId="0" xfId="0" applyFont="1" applyFill="1"/>
    <xf numFmtId="0" fontId="20" fillId="4" borderId="0" xfId="0" applyFont="1" applyFill="1" applyAlignment="1">
      <alignment horizontal="right"/>
    </xf>
    <xf numFmtId="169" fontId="0" fillId="4" borderId="0" xfId="0" applyNumberFormat="1" applyFill="1"/>
    <xf numFmtId="0" fontId="9" fillId="4" borderId="0" xfId="0" applyFont="1" applyFill="1"/>
    <xf numFmtId="0" fontId="0" fillId="4" borderId="0" xfId="0" applyFill="1" applyBorder="1"/>
    <xf numFmtId="0" fontId="0" fillId="6" borderId="1" xfId="0" applyFill="1" applyBorder="1"/>
    <xf numFmtId="0" fontId="44" fillId="4" borderId="0" xfId="0" applyFont="1" applyFill="1"/>
    <xf numFmtId="0" fontId="9" fillId="4" borderId="0" xfId="0" applyFont="1" applyFill="1" applyAlignment="1">
      <alignment horizontal="center"/>
    </xf>
    <xf numFmtId="0" fontId="0" fillId="5" borderId="0" xfId="0" applyFill="1"/>
    <xf numFmtId="0" fontId="9" fillId="5" borderId="0" xfId="0" applyFont="1" applyFill="1" applyAlignment="1">
      <alignment horizontal="center"/>
    </xf>
    <xf numFmtId="0" fontId="45" fillId="4" borderId="5" xfId="0" applyFont="1" applyFill="1" applyBorder="1" applyAlignment="1">
      <alignment horizontal="center" wrapText="1"/>
    </xf>
    <xf numFmtId="0" fontId="25" fillId="4" borderId="6" xfId="0" applyFont="1" applyFill="1" applyBorder="1" applyAlignment="1">
      <alignment horizontal="center" wrapText="1"/>
    </xf>
    <xf numFmtId="172" fontId="0" fillId="4" borderId="1" xfId="1" applyNumberFormat="1" applyFont="1" applyFill="1" applyBorder="1"/>
    <xf numFmtId="0" fontId="0" fillId="0" borderId="1" xfId="0" applyFill="1" applyBorder="1"/>
    <xf numFmtId="0" fontId="0" fillId="0" borderId="0" xfId="0" applyBorder="1"/>
    <xf numFmtId="0" fontId="33" fillId="0" borderId="0" xfId="0" applyFont="1" applyFill="1" applyBorder="1" applyAlignment="1">
      <alignment horizontal="center"/>
    </xf>
    <xf numFmtId="0" fontId="0" fillId="7" borderId="1" xfId="0" applyFill="1" applyBorder="1"/>
    <xf numFmtId="0" fontId="1" fillId="7" borderId="1" xfId="0" applyFont="1" applyFill="1" applyBorder="1"/>
    <xf numFmtId="0" fontId="46" fillId="7" borderId="1" xfId="0" applyFont="1" applyFill="1" applyBorder="1" applyAlignment="1">
      <alignment horizontal="center" wrapText="1"/>
    </xf>
    <xf numFmtId="0" fontId="0" fillId="8" borderId="1" xfId="0" applyFill="1" applyBorder="1"/>
    <xf numFmtId="0" fontId="0" fillId="9" borderId="1" xfId="0" applyFill="1" applyBorder="1"/>
    <xf numFmtId="3" fontId="0" fillId="0" borderId="1" xfId="0" applyNumberFormat="1" applyBorder="1"/>
    <xf numFmtId="3" fontId="0" fillId="0" borderId="1" xfId="0" applyNumberFormat="1" applyBorder="1" applyAlignment="1">
      <alignment wrapText="1"/>
    </xf>
    <xf numFmtId="0" fontId="0" fillId="4" borderId="0" xfId="0" applyFill="1" applyAlignment="1">
      <alignment horizontal="center"/>
    </xf>
    <xf numFmtId="0" fontId="1" fillId="0" borderId="0" xfId="0" applyFont="1" applyAlignment="1">
      <alignment horizontal="center"/>
    </xf>
    <xf numFmtId="0" fontId="1" fillId="7" borderId="7" xfId="0" applyFont="1" applyFill="1" applyBorder="1"/>
    <xf numFmtId="0" fontId="0" fillId="9" borderId="1" xfId="0" quotePrefix="1" applyFill="1" applyBorder="1"/>
    <xf numFmtId="0" fontId="47" fillId="4" borderId="0" xfId="0" applyFont="1" applyFill="1"/>
    <xf numFmtId="2" fontId="0" fillId="0" borderId="0" xfId="0" applyNumberFormat="1" applyBorder="1"/>
    <xf numFmtId="0" fontId="48" fillId="2" borderId="8" xfId="0" applyFont="1" applyFill="1" applyBorder="1" applyAlignment="1">
      <alignment horizontal="center" wrapText="1"/>
    </xf>
    <xf numFmtId="0" fontId="48" fillId="2" borderId="9" xfId="0" applyFont="1" applyFill="1" applyBorder="1" applyAlignment="1">
      <alignment wrapText="1"/>
    </xf>
    <xf numFmtId="0" fontId="48" fillId="0" borderId="10" xfId="0" applyFont="1" applyFill="1" applyBorder="1" applyAlignment="1">
      <alignment wrapText="1"/>
    </xf>
    <xf numFmtId="0" fontId="48" fillId="0" borderId="1" xfId="0" applyFont="1" applyFill="1" applyBorder="1" applyAlignment="1">
      <alignment wrapText="1"/>
    </xf>
    <xf numFmtId="0" fontId="49" fillId="0" borderId="11" xfId="0" applyFont="1" applyFill="1" applyBorder="1" applyAlignment="1">
      <alignment horizontal="center" wrapText="1"/>
    </xf>
    <xf numFmtId="0" fontId="0" fillId="2" borderId="12" xfId="0" applyFill="1" applyBorder="1" applyAlignment="1">
      <alignment wrapText="1"/>
    </xf>
    <xf numFmtId="0" fontId="48" fillId="2" borderId="12" xfId="0" applyFont="1" applyFill="1" applyBorder="1" applyAlignment="1">
      <alignment horizontal="center" wrapText="1"/>
    </xf>
    <xf numFmtId="0" fontId="48" fillId="2" borderId="6" xfId="0" applyFont="1" applyFill="1" applyBorder="1" applyAlignment="1">
      <alignment horizontal="center" wrapText="1"/>
    </xf>
    <xf numFmtId="0" fontId="48" fillId="2" borderId="13" xfId="0" applyFont="1" applyFill="1" applyBorder="1" applyAlignment="1">
      <alignment horizontal="center" wrapText="1"/>
    </xf>
    <xf numFmtId="0" fontId="48" fillId="0" borderId="1" xfId="0" applyFont="1" applyFill="1" applyBorder="1" applyAlignment="1">
      <alignment horizontal="center" wrapText="1"/>
    </xf>
    <xf numFmtId="0" fontId="9" fillId="0" borderId="1" xfId="0" applyFont="1" applyBorder="1" applyAlignment="1">
      <alignment horizontal="center"/>
    </xf>
    <xf numFmtId="173" fontId="1" fillId="0" borderId="6" xfId="0" applyNumberFormat="1" applyFont="1" applyBorder="1" applyAlignment="1">
      <alignment horizontal="center" wrapText="1"/>
    </xf>
    <xf numFmtId="0" fontId="1" fillId="0" borderId="6" xfId="0" applyFont="1" applyBorder="1" applyAlignment="1">
      <alignment horizontal="center" wrapText="1"/>
    </xf>
    <xf numFmtId="0" fontId="1" fillId="0" borderId="13" xfId="0" applyFont="1" applyBorder="1" applyAlignment="1">
      <alignment horizontal="center" wrapText="1"/>
    </xf>
    <xf numFmtId="171" fontId="1" fillId="0" borderId="6" xfId="0" applyNumberFormat="1" applyFont="1" applyBorder="1" applyAlignment="1">
      <alignment horizontal="center" wrapText="1"/>
    </xf>
    <xf numFmtId="174" fontId="1" fillId="0" borderId="6" xfId="0" applyNumberFormat="1" applyFont="1" applyBorder="1" applyAlignment="1">
      <alignment horizontal="center" wrapText="1"/>
    </xf>
    <xf numFmtId="0" fontId="50" fillId="2" borderId="6" xfId="0" applyFont="1" applyFill="1" applyBorder="1" applyAlignment="1">
      <alignment horizontal="center" wrapText="1"/>
    </xf>
    <xf numFmtId="0" fontId="49" fillId="2" borderId="12" xfId="0" applyFont="1" applyFill="1" applyBorder="1" applyAlignment="1">
      <alignment horizontal="center" wrapText="1"/>
    </xf>
    <xf numFmtId="0" fontId="49" fillId="2" borderId="6" xfId="0" applyFont="1" applyFill="1" applyBorder="1" applyAlignment="1">
      <alignment horizontal="center" wrapText="1"/>
    </xf>
    <xf numFmtId="171" fontId="42" fillId="0" borderId="6" xfId="0" applyNumberFormat="1" applyFont="1" applyBorder="1" applyAlignment="1">
      <alignment horizontal="center" wrapText="1"/>
    </xf>
    <xf numFmtId="0" fontId="42" fillId="4" borderId="6" xfId="0" applyFont="1" applyFill="1" applyBorder="1" applyAlignment="1">
      <alignment horizontal="center" wrapText="1"/>
    </xf>
    <xf numFmtId="173" fontId="42" fillId="0" borderId="6" xfId="0" applyNumberFormat="1" applyFont="1" applyBorder="1" applyAlignment="1">
      <alignment horizontal="center" wrapText="1"/>
    </xf>
    <xf numFmtId="174" fontId="42" fillId="0" borderId="6" xfId="0" applyNumberFormat="1" applyFont="1" applyBorder="1" applyAlignment="1">
      <alignment horizontal="center" wrapText="1"/>
    </xf>
    <xf numFmtId="0" fontId="45" fillId="2" borderId="8" xfId="0" applyFont="1" applyFill="1" applyBorder="1" applyAlignment="1">
      <alignment horizontal="center" wrapText="1"/>
    </xf>
    <xf numFmtId="0" fontId="45" fillId="2" borderId="5" xfId="0" applyFont="1" applyFill="1" applyBorder="1" applyAlignment="1">
      <alignment horizontal="center" wrapText="1"/>
    </xf>
    <xf numFmtId="0" fontId="45" fillId="2" borderId="12" xfId="0" applyFont="1" applyFill="1" applyBorder="1" applyAlignment="1">
      <alignment horizontal="center" wrapText="1"/>
    </xf>
    <xf numFmtId="0" fontId="46" fillId="4" borderId="14" xfId="0" applyFont="1" applyFill="1" applyBorder="1" applyAlignment="1">
      <alignment horizontal="center" wrapText="1"/>
    </xf>
    <xf numFmtId="0" fontId="46" fillId="4" borderId="6" xfId="0" applyFont="1" applyFill="1" applyBorder="1" applyAlignment="1">
      <alignment horizontal="center" wrapText="1"/>
    </xf>
    <xf numFmtId="0" fontId="9" fillId="0" borderId="1" xfId="0" quotePrefix="1" applyFont="1" applyBorder="1" applyAlignment="1">
      <alignment horizontal="center"/>
    </xf>
    <xf numFmtId="0" fontId="45" fillId="2" borderId="8" xfId="0" applyFont="1" applyFill="1" applyBorder="1" applyAlignment="1">
      <alignment horizontal="center" vertical="top" wrapText="1"/>
    </xf>
    <xf numFmtId="0" fontId="42" fillId="5" borderId="6" xfId="0" applyFont="1" applyFill="1" applyBorder="1" applyAlignment="1">
      <alignment horizontal="center" wrapText="1"/>
    </xf>
    <xf numFmtId="0" fontId="25" fillId="5" borderId="6" xfId="0" applyFont="1" applyFill="1" applyBorder="1" applyAlignment="1">
      <alignment horizontal="center" wrapText="1"/>
    </xf>
    <xf numFmtId="0" fontId="0" fillId="6" borderId="0" xfId="0" applyFill="1" applyAlignment="1">
      <alignment horizontal="center"/>
    </xf>
    <xf numFmtId="0" fontId="48" fillId="2" borderId="1" xfId="0" applyFont="1" applyFill="1" applyBorder="1" applyAlignment="1">
      <alignment horizontal="center" wrapText="1"/>
    </xf>
    <xf numFmtId="0" fontId="42" fillId="2" borderId="1" xfId="0" applyFont="1" applyFill="1" applyBorder="1" applyAlignment="1">
      <alignment horizontal="center" wrapText="1"/>
    </xf>
    <xf numFmtId="12" fontId="42" fillId="2" borderId="1" xfId="0" applyNumberFormat="1" applyFont="1" applyFill="1" applyBorder="1" applyAlignment="1">
      <alignment horizontal="center" wrapText="1"/>
    </xf>
    <xf numFmtId="0" fontId="48" fillId="2" borderId="0" xfId="0" applyFont="1" applyFill="1" applyBorder="1" applyAlignment="1">
      <alignment horizontal="center" wrapText="1"/>
    </xf>
    <xf numFmtId="0" fontId="0" fillId="0" borderId="0" xfId="0" applyFill="1" applyBorder="1" applyAlignment="1">
      <alignment wrapText="1"/>
    </xf>
    <xf numFmtId="0" fontId="48" fillId="0" borderId="0" xfId="0" applyFont="1" applyFill="1" applyBorder="1" applyAlignment="1">
      <alignment horizontal="center" wrapText="1"/>
    </xf>
    <xf numFmtId="0" fontId="42" fillId="0" borderId="0" xfId="0" applyFont="1" applyFill="1" applyBorder="1" applyAlignment="1">
      <alignment horizontal="center" wrapText="1"/>
    </xf>
    <xf numFmtId="0" fontId="42" fillId="2" borderId="0" xfId="0" applyFont="1" applyFill="1" applyBorder="1" applyAlignment="1">
      <alignment horizontal="center" wrapText="1"/>
    </xf>
    <xf numFmtId="172" fontId="0" fillId="0" borderId="1" xfId="1" applyNumberFormat="1" applyFont="1" applyBorder="1"/>
    <xf numFmtId="49" fontId="0" fillId="0" borderId="0" xfId="0" applyNumberFormat="1" applyAlignment="1">
      <alignment horizontal="center"/>
    </xf>
    <xf numFmtId="0" fontId="46" fillId="5" borderId="6" xfId="0" applyFont="1" applyFill="1" applyBorder="1" applyAlignment="1">
      <alignment horizontal="center" wrapText="1"/>
    </xf>
    <xf numFmtId="0" fontId="49" fillId="5" borderId="6" xfId="0" applyFont="1" applyFill="1" applyBorder="1" applyAlignment="1">
      <alignment horizontal="center" wrapText="1"/>
    </xf>
    <xf numFmtId="0" fontId="48" fillId="5" borderId="6" xfId="0" applyFont="1" applyFill="1" applyBorder="1" applyAlignment="1">
      <alignment horizontal="center" wrapText="1"/>
    </xf>
    <xf numFmtId="0" fontId="1" fillId="5" borderId="6" xfId="0" applyFont="1" applyFill="1" applyBorder="1" applyAlignment="1">
      <alignment horizontal="center" wrapText="1"/>
    </xf>
    <xf numFmtId="0" fontId="48" fillId="9" borderId="6" xfId="0" applyFont="1" applyFill="1" applyBorder="1" applyAlignment="1">
      <alignment horizontal="center" wrapText="1"/>
    </xf>
    <xf numFmtId="0" fontId="1" fillId="9" borderId="6" xfId="0" applyFont="1" applyFill="1" applyBorder="1" applyAlignment="1">
      <alignment horizontal="center" wrapText="1"/>
    </xf>
    <xf numFmtId="0" fontId="49" fillId="9" borderId="6" xfId="0" applyFont="1" applyFill="1" applyBorder="1" applyAlignment="1">
      <alignment horizontal="center" wrapText="1"/>
    </xf>
    <xf numFmtId="0" fontId="25" fillId="9" borderId="6" xfId="0" applyFont="1" applyFill="1" applyBorder="1" applyAlignment="1">
      <alignment horizontal="center" wrapText="1"/>
    </xf>
    <xf numFmtId="0" fontId="46" fillId="9" borderId="6" xfId="0" applyFont="1" applyFill="1" applyBorder="1" applyAlignment="1">
      <alignment horizontal="center" wrapText="1"/>
    </xf>
    <xf numFmtId="0" fontId="42" fillId="9" borderId="6" xfId="0" applyFont="1" applyFill="1" applyBorder="1" applyAlignment="1">
      <alignment horizontal="center" wrapText="1"/>
    </xf>
    <xf numFmtId="0" fontId="48" fillId="0" borderId="6" xfId="0" applyFont="1" applyFill="1" applyBorder="1" applyAlignment="1">
      <alignment horizontal="center" wrapText="1"/>
    </xf>
    <xf numFmtId="0" fontId="0" fillId="10" borderId="0" xfId="0" applyFill="1" applyAlignment="1">
      <alignment horizontal="center"/>
    </xf>
    <xf numFmtId="0" fontId="0" fillId="10" borderId="0" xfId="0" applyFill="1" applyBorder="1" applyAlignment="1">
      <alignment wrapText="1"/>
    </xf>
    <xf numFmtId="0" fontId="48" fillId="10" borderId="12" xfId="0" applyFont="1" applyFill="1" applyBorder="1" applyAlignment="1">
      <alignment horizontal="center" wrapText="1"/>
    </xf>
    <xf numFmtId="0" fontId="48" fillId="10" borderId="6" xfId="0" applyFont="1" applyFill="1" applyBorder="1" applyAlignment="1">
      <alignment horizontal="center" wrapText="1"/>
    </xf>
    <xf numFmtId="0" fontId="0" fillId="10" borderId="12" xfId="0" applyFill="1" applyBorder="1" applyAlignment="1">
      <alignment wrapText="1"/>
    </xf>
    <xf numFmtId="0" fontId="48" fillId="10" borderId="13" xfId="0" applyFont="1" applyFill="1" applyBorder="1" applyAlignment="1">
      <alignment horizontal="center" wrapText="1"/>
    </xf>
    <xf numFmtId="0" fontId="48" fillId="10" borderId="1" xfId="0" applyFont="1" applyFill="1" applyBorder="1" applyAlignment="1">
      <alignment horizontal="center" wrapText="1"/>
    </xf>
    <xf numFmtId="0" fontId="48" fillId="10" borderId="0" xfId="0" applyFont="1" applyFill="1" applyBorder="1" applyAlignment="1">
      <alignment horizontal="center" wrapText="1"/>
    </xf>
    <xf numFmtId="12" fontId="42" fillId="2" borderId="0" xfId="0" applyNumberFormat="1" applyFont="1" applyFill="1" applyBorder="1" applyAlignment="1">
      <alignment horizontal="center" wrapText="1"/>
    </xf>
    <xf numFmtId="49" fontId="0" fillId="2" borderId="0" xfId="0" applyNumberFormat="1" applyFill="1" applyAlignment="1">
      <alignment horizontal="center"/>
    </xf>
    <xf numFmtId="0" fontId="48" fillId="0" borderId="12" xfId="0" applyFont="1" applyFill="1" applyBorder="1" applyAlignment="1">
      <alignment horizontal="center" wrapText="1"/>
    </xf>
    <xf numFmtId="0" fontId="0" fillId="0" borderId="12" xfId="0" applyFill="1" applyBorder="1" applyAlignment="1">
      <alignment wrapText="1"/>
    </xf>
    <xf numFmtId="0" fontId="48" fillId="0" borderId="13" xfId="0" applyFont="1" applyFill="1" applyBorder="1" applyAlignment="1">
      <alignment horizontal="center" wrapText="1"/>
    </xf>
    <xf numFmtId="0" fontId="0" fillId="0" borderId="0" xfId="0" applyFill="1" applyAlignment="1">
      <alignment horizontal="left"/>
    </xf>
    <xf numFmtId="0" fontId="48" fillId="2" borderId="12" xfId="0" applyFont="1" applyFill="1" applyBorder="1" applyAlignment="1">
      <alignment wrapText="1"/>
    </xf>
    <xf numFmtId="0" fontId="45" fillId="2" borderId="12" xfId="0" applyFont="1" applyFill="1" applyBorder="1" applyAlignment="1">
      <alignment wrapText="1"/>
    </xf>
    <xf numFmtId="0" fontId="49" fillId="11" borderId="8" xfId="0" applyFont="1" applyFill="1" applyBorder="1" applyAlignment="1">
      <alignment horizontal="center" wrapText="1"/>
    </xf>
    <xf numFmtId="0" fontId="49" fillId="11" borderId="8" xfId="0" applyFont="1" applyFill="1" applyBorder="1" applyAlignment="1">
      <alignment horizontal="center" vertical="top" wrapText="1"/>
    </xf>
    <xf numFmtId="0" fontId="48" fillId="2" borderId="10" xfId="0" applyFont="1" applyFill="1" applyBorder="1" applyAlignment="1">
      <alignment horizontal="center" wrapText="1"/>
    </xf>
    <xf numFmtId="0" fontId="49" fillId="2" borderId="0" xfId="0" applyFont="1" applyFill="1" applyBorder="1" applyAlignment="1">
      <alignment horizontal="center" wrapText="1"/>
    </xf>
    <xf numFmtId="0" fontId="27" fillId="2" borderId="8" xfId="0" applyFont="1" applyFill="1" applyBorder="1" applyAlignment="1">
      <alignment horizontal="center" wrapText="1"/>
    </xf>
    <xf numFmtId="0" fontId="9" fillId="2" borderId="0" xfId="0" quotePrefix="1" applyFont="1" applyFill="1" applyAlignment="1">
      <alignment horizontal="left"/>
    </xf>
    <xf numFmtId="0" fontId="48" fillId="12" borderId="10" xfId="0" applyFont="1" applyFill="1" applyBorder="1" applyAlignment="1">
      <alignment horizontal="center" wrapText="1"/>
    </xf>
    <xf numFmtId="0" fontId="48" fillId="12" borderId="9" xfId="0" applyFont="1" applyFill="1" applyBorder="1" applyAlignment="1">
      <alignment horizontal="center" wrapText="1"/>
    </xf>
    <xf numFmtId="0" fontId="0" fillId="12" borderId="0" xfId="0" applyFill="1"/>
    <xf numFmtId="0" fontId="0" fillId="12" borderId="0" xfId="0" applyFill="1" applyAlignment="1">
      <alignment horizontal="right"/>
    </xf>
    <xf numFmtId="0" fontId="51" fillId="12" borderId="0" xfId="0" applyFont="1" applyFill="1"/>
    <xf numFmtId="0" fontId="42" fillId="12" borderId="0" xfId="0" applyFont="1" applyFill="1" applyBorder="1" applyAlignment="1">
      <alignment horizontal="right"/>
    </xf>
    <xf numFmtId="0" fontId="52" fillId="4" borderId="0" xfId="0" applyFont="1" applyFill="1" applyAlignment="1">
      <alignment horizontal="center"/>
    </xf>
    <xf numFmtId="172" fontId="11" fillId="4" borderId="4" xfId="1" applyNumberFormat="1" applyFont="1" applyFill="1" applyBorder="1" applyAlignment="1">
      <alignment horizontal="center"/>
    </xf>
    <xf numFmtId="0" fontId="0" fillId="12" borderId="0" xfId="0" applyFill="1" applyBorder="1" applyAlignment="1" applyProtection="1">
      <alignment horizontal="left"/>
      <protection hidden="1"/>
    </xf>
    <xf numFmtId="0" fontId="9" fillId="12" borderId="1" xfId="0" applyFont="1" applyFill="1" applyBorder="1" applyAlignment="1" applyProtection="1">
      <alignment horizontal="center"/>
      <protection hidden="1"/>
    </xf>
    <xf numFmtId="2" fontId="7" fillId="4" borderId="4" xfId="0" applyNumberFormat="1" applyFont="1" applyFill="1" applyBorder="1" applyAlignment="1" applyProtection="1">
      <alignment horizontal="center"/>
      <protection hidden="1"/>
    </xf>
    <xf numFmtId="0" fontId="7" fillId="4" borderId="4" xfId="0" applyFont="1" applyFill="1" applyBorder="1" applyAlignment="1" applyProtection="1">
      <alignment horizontal="center"/>
      <protection hidden="1"/>
    </xf>
    <xf numFmtId="172" fontId="11" fillId="4" borderId="0" xfId="1" applyNumberFormat="1" applyFont="1" applyFill="1" applyBorder="1" applyAlignment="1" applyProtection="1">
      <alignment horizontal="center"/>
      <protection hidden="1"/>
    </xf>
    <xf numFmtId="0" fontId="52" fillId="4" borderId="0" xfId="0" applyFont="1" applyFill="1" applyAlignment="1">
      <alignment horizontal="left"/>
    </xf>
    <xf numFmtId="0" fontId="13" fillId="4" borderId="0" xfId="3" applyFill="1" applyAlignment="1" applyProtection="1">
      <alignment horizontal="center"/>
    </xf>
    <xf numFmtId="0" fontId="0" fillId="6" borderId="15" xfId="0" applyFill="1" applyBorder="1" applyProtection="1">
      <protection locked="0"/>
    </xf>
    <xf numFmtId="0" fontId="0" fillId="6" borderId="1" xfId="0" applyFill="1" applyBorder="1" applyProtection="1">
      <protection locked="0"/>
    </xf>
    <xf numFmtId="0" fontId="25" fillId="6" borderId="1" xfId="0" applyFont="1" applyFill="1" applyBorder="1" applyAlignment="1" applyProtection="1">
      <alignment horizontal="center" wrapText="1"/>
      <protection locked="0"/>
    </xf>
    <xf numFmtId="2" fontId="25" fillId="6" borderId="1" xfId="0" applyNumberFormat="1" applyFont="1" applyFill="1" applyBorder="1" applyAlignment="1" applyProtection="1">
      <alignment horizontal="center" wrapText="1"/>
      <protection locked="0"/>
    </xf>
    <xf numFmtId="0" fontId="45" fillId="6" borderId="1" xfId="0" applyFont="1" applyFill="1" applyBorder="1" applyAlignment="1" applyProtection="1">
      <alignment horizontal="center" vertical="top" wrapText="1"/>
      <protection locked="0"/>
    </xf>
    <xf numFmtId="1" fontId="1" fillId="7" borderId="7" xfId="0" applyNumberFormat="1" applyFont="1" applyFill="1" applyBorder="1"/>
    <xf numFmtId="0" fontId="9" fillId="5" borderId="0" xfId="0" quotePrefix="1" applyFont="1" applyFill="1" applyAlignment="1">
      <alignment horizontal="center"/>
    </xf>
    <xf numFmtId="0" fontId="46" fillId="0" borderId="0" xfId="0" applyFont="1" applyFill="1" applyBorder="1" applyAlignment="1">
      <alignment horizontal="left" wrapText="1"/>
    </xf>
    <xf numFmtId="1" fontId="1" fillId="7" borderId="1" xfId="0" applyNumberFormat="1" applyFont="1" applyFill="1" applyBorder="1"/>
    <xf numFmtId="0" fontId="1" fillId="0" borderId="16" xfId="0" applyFont="1" applyFill="1" applyBorder="1"/>
    <xf numFmtId="172" fontId="9" fillId="4" borderId="4" xfId="1" applyNumberFormat="1" applyFont="1" applyFill="1" applyBorder="1"/>
    <xf numFmtId="0" fontId="15" fillId="4" borderId="0" xfId="0" applyFont="1" applyFill="1"/>
    <xf numFmtId="0" fontId="9" fillId="4" borderId="0" xfId="0" applyFont="1" applyFill="1" applyAlignment="1"/>
    <xf numFmtId="0" fontId="9" fillId="4" borderId="0" xfId="0" applyFont="1" applyFill="1" applyAlignment="1">
      <alignment horizontal="left"/>
    </xf>
    <xf numFmtId="0" fontId="0" fillId="4" borderId="0" xfId="0" applyFill="1" applyAlignment="1">
      <alignment horizontal="left"/>
    </xf>
    <xf numFmtId="0" fontId="34" fillId="4" borderId="0" xfId="0" applyFont="1" applyFill="1" applyBorder="1" applyAlignment="1">
      <alignment horizontal="left"/>
    </xf>
    <xf numFmtId="0" fontId="34" fillId="4" borderId="0" xfId="0" applyFont="1" applyFill="1" applyBorder="1"/>
    <xf numFmtId="0" fontId="34" fillId="4" borderId="0" xfId="0" applyFont="1" applyFill="1" applyAlignment="1">
      <alignment horizontal="right"/>
    </xf>
    <xf numFmtId="172" fontId="11" fillId="4" borderId="4" xfId="1" applyNumberFormat="1" applyFont="1" applyFill="1" applyBorder="1"/>
    <xf numFmtId="0" fontId="19" fillId="4" borderId="0" xfId="0" applyFont="1" applyFill="1" applyAlignment="1">
      <alignment horizontal="left"/>
    </xf>
    <xf numFmtId="0" fontId="19" fillId="5" borderId="16" xfId="0" applyFont="1" applyFill="1" applyBorder="1"/>
    <xf numFmtId="0" fontId="19" fillId="5" borderId="0" xfId="0" applyFont="1" applyFill="1"/>
    <xf numFmtId="0" fontId="0" fillId="0" borderId="1" xfId="0" applyFill="1" applyBorder="1" applyProtection="1">
      <protection locked="0"/>
    </xf>
    <xf numFmtId="0" fontId="19" fillId="5" borderId="17" xfId="0" applyFont="1" applyFill="1" applyBorder="1"/>
    <xf numFmtId="0" fontId="19" fillId="5" borderId="18" xfId="0" applyFont="1" applyFill="1" applyBorder="1" applyAlignment="1">
      <alignment horizontal="center"/>
    </xf>
    <xf numFmtId="0" fontId="19" fillId="5" borderId="19" xfId="0" applyFont="1" applyFill="1" applyBorder="1" applyAlignment="1">
      <alignment horizontal="center"/>
    </xf>
    <xf numFmtId="0" fontId="19" fillId="5" borderId="20" xfId="0" applyFont="1" applyFill="1" applyBorder="1" applyAlignment="1">
      <alignment horizontal="center"/>
    </xf>
    <xf numFmtId="0" fontId="0" fillId="4" borderId="0" xfId="0" applyFill="1" applyBorder="1" applyProtection="1"/>
    <xf numFmtId="0" fontId="0" fillId="4" borderId="0" xfId="0" applyFill="1" applyBorder="1" applyAlignment="1">
      <alignment vertical="top" wrapText="1"/>
    </xf>
    <xf numFmtId="1" fontId="10" fillId="4" borderId="0" xfId="0" applyNumberFormat="1" applyFont="1" applyFill="1" applyBorder="1" applyAlignment="1" applyProtection="1">
      <alignment horizontal="right"/>
    </xf>
    <xf numFmtId="0" fontId="21" fillId="4" borderId="0" xfId="0" applyFont="1" applyFill="1"/>
    <xf numFmtId="0" fontId="55" fillId="4" borderId="0" xfId="0" applyFont="1" applyFill="1"/>
    <xf numFmtId="0" fontId="55" fillId="4" borderId="0" xfId="0" applyFont="1" applyFill="1" applyBorder="1"/>
    <xf numFmtId="0" fontId="56" fillId="4" borderId="0" xfId="0" applyFont="1" applyFill="1" applyAlignment="1" applyProtection="1">
      <alignment horizontal="right"/>
      <protection locked="0"/>
    </xf>
    <xf numFmtId="0" fontId="56" fillId="4" borderId="0" xfId="3" applyFont="1" applyFill="1" applyBorder="1" applyAlignment="1" applyProtection="1">
      <alignment horizontal="right" vertical="center"/>
    </xf>
    <xf numFmtId="2" fontId="56" fillId="4" borderId="0" xfId="0" applyNumberFormat="1" applyFont="1" applyFill="1" applyBorder="1" applyProtection="1">
      <protection locked="0"/>
    </xf>
    <xf numFmtId="0" fontId="56" fillId="4" borderId="0" xfId="0" applyFont="1" applyFill="1" applyProtection="1">
      <protection locked="0"/>
    </xf>
    <xf numFmtId="0" fontId="56" fillId="4" borderId="0" xfId="0" applyFont="1" applyFill="1" applyBorder="1" applyAlignment="1">
      <alignment horizontal="right"/>
    </xf>
    <xf numFmtId="0" fontId="56" fillId="4" borderId="0" xfId="0" applyFont="1" applyFill="1"/>
    <xf numFmtId="0" fontId="56" fillId="4" borderId="0" xfId="0" applyFont="1" applyFill="1" applyBorder="1"/>
    <xf numFmtId="0" fontId="56" fillId="4" borderId="0" xfId="0" applyFont="1" applyFill="1" applyBorder="1" applyAlignment="1">
      <alignment vertical="top" wrapText="1"/>
    </xf>
    <xf numFmtId="0" fontId="0" fillId="6" borderId="0" xfId="0" applyFill="1"/>
    <xf numFmtId="37" fontId="6" fillId="6" borderId="0" xfId="0" applyNumberFormat="1" applyFont="1" applyFill="1" applyBorder="1" applyAlignment="1">
      <alignment horizontal="center"/>
    </xf>
    <xf numFmtId="0" fontId="0" fillId="0" borderId="1" xfId="0" applyBorder="1" applyAlignment="1">
      <alignment horizontal="center" wrapText="1"/>
    </xf>
    <xf numFmtId="172" fontId="0" fillId="0" borderId="1" xfId="1" applyNumberFormat="1" applyFont="1" applyBorder="1" applyAlignment="1">
      <alignment horizontal="center" wrapText="1"/>
    </xf>
    <xf numFmtId="0" fontId="0" fillId="0" borderId="6" xfId="0" applyFill="1" applyBorder="1" applyAlignment="1">
      <alignment horizontal="center" vertical="top" wrapText="1"/>
    </xf>
    <xf numFmtId="3" fontId="0" fillId="0" borderId="6" xfId="0" applyNumberFormat="1" applyFill="1" applyBorder="1" applyAlignment="1">
      <alignment horizontal="center" vertical="top" wrapText="1"/>
    </xf>
    <xf numFmtId="0" fontId="9" fillId="0" borderId="0" xfId="0" applyFont="1"/>
    <xf numFmtId="0" fontId="0" fillId="10" borderId="0" xfId="0" applyFill="1"/>
    <xf numFmtId="0" fontId="46" fillId="0" borderId="6" xfId="0" applyFont="1" applyFill="1" applyBorder="1" applyAlignment="1">
      <alignment horizontal="center" vertical="top" wrapText="1"/>
    </xf>
    <xf numFmtId="3" fontId="46" fillId="0" borderId="6" xfId="0" applyNumberFormat="1" applyFont="1" applyFill="1" applyBorder="1" applyAlignment="1">
      <alignment horizontal="center" vertical="top" wrapText="1"/>
    </xf>
    <xf numFmtId="3" fontId="0" fillId="10" borderId="0" xfId="0" applyNumberFormat="1" applyFill="1" applyBorder="1" applyAlignment="1">
      <alignment horizontal="center" vertical="top" wrapText="1"/>
    </xf>
    <xf numFmtId="0" fontId="6" fillId="9" borderId="1" xfId="0" applyFont="1" applyFill="1" applyBorder="1" applyAlignment="1">
      <alignment horizontal="center"/>
    </xf>
    <xf numFmtId="172" fontId="0" fillId="0" borderId="0" xfId="1" applyNumberFormat="1" applyFont="1"/>
    <xf numFmtId="172" fontId="0" fillId="0" borderId="0" xfId="1" applyNumberFormat="1" applyFont="1" applyFill="1" applyBorder="1"/>
    <xf numFmtId="0" fontId="0" fillId="9" borderId="0" xfId="0" applyFill="1"/>
    <xf numFmtId="172" fontId="0" fillId="9" borderId="0" xfId="1" applyNumberFormat="1" applyFont="1" applyFill="1"/>
    <xf numFmtId="0" fontId="7" fillId="4" borderId="0" xfId="0" applyFont="1" applyFill="1" applyBorder="1" applyAlignment="1">
      <alignment horizontal="center"/>
    </xf>
    <xf numFmtId="0" fontId="57" fillId="4" borderId="0" xfId="0" applyFont="1" applyFill="1"/>
    <xf numFmtId="37" fontId="38" fillId="4" borderId="0" xfId="0" applyNumberFormat="1" applyFont="1" applyFill="1" applyBorder="1" applyAlignment="1" applyProtection="1">
      <alignment horizontal="center" vertical="center"/>
      <protection hidden="1"/>
    </xf>
    <xf numFmtId="37" fontId="38" fillId="4" borderId="0" xfId="0" applyNumberFormat="1" applyFont="1" applyFill="1" applyBorder="1" applyAlignment="1" applyProtection="1">
      <alignment horizontal="center" vertical="center"/>
    </xf>
    <xf numFmtId="0" fontId="0" fillId="4" borderId="0" xfId="0" applyFill="1" applyBorder="1" applyProtection="1">
      <protection locked="0"/>
    </xf>
    <xf numFmtId="0" fontId="5" fillId="4" borderId="0" xfId="0" applyFont="1" applyFill="1" applyBorder="1" applyAlignment="1">
      <alignment horizontal="center"/>
    </xf>
    <xf numFmtId="37" fontId="24" fillId="4" borderId="0" xfId="0" applyNumberFormat="1" applyFont="1" applyFill="1" applyBorder="1" applyAlignment="1">
      <alignment horizontal="center"/>
    </xf>
    <xf numFmtId="0" fontId="19" fillId="4" borderId="0" xfId="0" applyFont="1" applyFill="1" applyBorder="1" applyAlignment="1">
      <alignment horizontal="left"/>
    </xf>
    <xf numFmtId="165" fontId="24" fillId="4" borderId="0" xfId="0" applyNumberFormat="1" applyFont="1" applyFill="1" applyBorder="1" applyAlignment="1">
      <alignment horizontal="center"/>
    </xf>
    <xf numFmtId="0" fontId="3" fillId="4" borderId="0" xfId="0" applyFont="1" applyFill="1" applyBorder="1" applyAlignment="1">
      <alignment horizontal="centerContinuous"/>
    </xf>
    <xf numFmtId="0" fontId="0" fillId="4" borderId="0" xfId="0" applyFill="1" applyBorder="1" applyAlignment="1">
      <alignment horizontal="centerContinuous"/>
    </xf>
    <xf numFmtId="0" fontId="0" fillId="6" borderId="17" xfId="0" applyFill="1" applyBorder="1"/>
    <xf numFmtId="0" fontId="9" fillId="4" borderId="0" xfId="0" applyFont="1" applyFill="1" applyBorder="1" applyAlignment="1">
      <alignment horizontal="center"/>
    </xf>
    <xf numFmtId="0" fontId="9" fillId="0" borderId="0" xfId="0" applyFont="1" applyFill="1" applyBorder="1"/>
    <xf numFmtId="0" fontId="0" fillId="4" borderId="0" xfId="0" applyFill="1" applyBorder="1" applyAlignment="1">
      <alignment horizontal="center"/>
    </xf>
    <xf numFmtId="3" fontId="0" fillId="0" borderId="0" xfId="0" applyNumberFormat="1"/>
    <xf numFmtId="0" fontId="0" fillId="0" borderId="21" xfId="0" applyBorder="1"/>
    <xf numFmtId="0" fontId="59" fillId="0" borderId="21" xfId="0" applyFont="1" applyBorder="1"/>
    <xf numFmtId="0" fontId="0" fillId="0" borderId="22" xfId="0" applyBorder="1" applyAlignment="1">
      <alignment horizontal="center" wrapText="1"/>
    </xf>
    <xf numFmtId="0" fontId="0" fillId="0" borderId="23" xfId="0" applyBorder="1" applyAlignment="1">
      <alignment horizontal="center" wrapText="1"/>
    </xf>
    <xf numFmtId="0" fontId="35" fillId="0" borderId="24" xfId="0" applyFont="1" applyBorder="1"/>
    <xf numFmtId="0" fontId="0" fillId="13" borderId="0" xfId="0" applyFill="1"/>
    <xf numFmtId="0" fontId="0" fillId="5" borderId="25" xfId="0" applyNumberFormat="1" applyFill="1" applyBorder="1" applyProtection="1">
      <protection locked="0"/>
    </xf>
    <xf numFmtId="0" fontId="0" fillId="13" borderId="25" xfId="0" applyFill="1" applyBorder="1"/>
    <xf numFmtId="0" fontId="0" fillId="13" borderId="2" xfId="0" applyFill="1" applyBorder="1"/>
    <xf numFmtId="0" fontId="0" fillId="14" borderId="26" xfId="0" applyFill="1" applyBorder="1"/>
    <xf numFmtId="0" fontId="0" fillId="13" borderId="25" xfId="0" applyNumberFormat="1" applyFill="1" applyBorder="1"/>
    <xf numFmtId="0" fontId="0" fillId="5" borderId="25" xfId="0" applyFill="1" applyBorder="1" applyProtection="1">
      <protection locked="0"/>
    </xf>
    <xf numFmtId="0" fontId="0" fillId="0" borderId="25" xfId="0" applyNumberFormat="1" applyFill="1" applyBorder="1"/>
    <xf numFmtId="0" fontId="0" fillId="0" borderId="25" xfId="0" applyFill="1" applyBorder="1"/>
    <xf numFmtId="0" fontId="0" fillId="0" borderId="2" xfId="0" applyFill="1" applyBorder="1"/>
    <xf numFmtId="0" fontId="0" fillId="0" borderId="26" xfId="0" applyFill="1" applyBorder="1"/>
    <xf numFmtId="0" fontId="9" fillId="0" borderId="27" xfId="0" applyFont="1" applyBorder="1" applyAlignment="1">
      <alignment vertical="center" textRotation="180"/>
    </xf>
    <xf numFmtId="0" fontId="0" fillId="13" borderId="27" xfId="0" applyFill="1" applyBorder="1"/>
    <xf numFmtId="0" fontId="0" fillId="0" borderId="27" xfId="0" applyBorder="1"/>
    <xf numFmtId="0" fontId="0" fillId="13" borderId="28" xfId="0" applyNumberFormat="1" applyFill="1" applyBorder="1"/>
    <xf numFmtId="0" fontId="0" fillId="13" borderId="28" xfId="0" applyFill="1" applyBorder="1"/>
    <xf numFmtId="0" fontId="0" fillId="5" borderId="28" xfId="0" applyFill="1" applyBorder="1" applyProtection="1">
      <protection locked="0"/>
    </xf>
    <xf numFmtId="0" fontId="0" fillId="13" borderId="29" xfId="0" applyFill="1" applyBorder="1"/>
    <xf numFmtId="0" fontId="0" fillId="14" borderId="30" xfId="0" applyFill="1" applyBorder="1"/>
    <xf numFmtId="0" fontId="9" fillId="0" borderId="31" xfId="0" applyFont="1" applyBorder="1" applyAlignment="1">
      <alignment vertical="center" textRotation="180"/>
    </xf>
    <xf numFmtId="0" fontId="0" fillId="0" borderId="27" xfId="0" applyFill="1" applyBorder="1"/>
    <xf numFmtId="0" fontId="0" fillId="0" borderId="28" xfId="0" applyNumberFormat="1" applyFill="1" applyBorder="1"/>
    <xf numFmtId="0" fontId="0" fillId="0" borderId="28" xfId="0" applyFill="1" applyBorder="1"/>
    <xf numFmtId="0" fontId="0" fillId="0" borderId="29" xfId="0" applyFill="1" applyBorder="1"/>
    <xf numFmtId="0" fontId="0" fillId="0" borderId="30" xfId="0" applyFill="1" applyBorder="1"/>
    <xf numFmtId="0" fontId="0" fillId="5" borderId="29" xfId="0" applyFill="1" applyBorder="1" applyProtection="1">
      <protection locked="0"/>
    </xf>
    <xf numFmtId="0" fontId="0" fillId="0" borderId="0" xfId="0" applyNumberFormat="1" applyFill="1"/>
    <xf numFmtId="0" fontId="0" fillId="0" borderId="32" xfId="0" applyBorder="1"/>
    <xf numFmtId="0" fontId="59" fillId="0" borderId="32" xfId="0" applyFont="1" applyBorder="1"/>
    <xf numFmtId="0" fontId="0" fillId="0" borderId="33" xfId="0" applyBorder="1" applyAlignment="1">
      <alignment horizontal="center" wrapText="1"/>
    </xf>
    <xf numFmtId="0" fontId="0" fillId="0" borderId="34" xfId="0" applyBorder="1" applyAlignment="1">
      <alignment horizontal="center" wrapText="1"/>
    </xf>
    <xf numFmtId="0" fontId="35" fillId="0" borderId="35" xfId="0" applyFont="1" applyBorder="1"/>
    <xf numFmtId="0" fontId="7" fillId="0" borderId="21" xfId="0" applyFont="1" applyBorder="1"/>
    <xf numFmtId="0" fontId="0" fillId="13" borderId="26" xfId="0" applyFill="1" applyBorder="1"/>
    <xf numFmtId="0" fontId="0" fillId="0" borderId="26" xfId="0" applyBorder="1"/>
    <xf numFmtId="0" fontId="0" fillId="13" borderId="30" xfId="0" applyFill="1" applyBorder="1"/>
    <xf numFmtId="0" fontId="9" fillId="0" borderId="0" xfId="0" applyFont="1" applyBorder="1" applyAlignment="1">
      <alignment vertical="center" textRotation="180"/>
    </xf>
    <xf numFmtId="0" fontId="0" fillId="0" borderId="30" xfId="0" applyBorder="1"/>
    <xf numFmtId="0" fontId="9" fillId="13" borderId="25" xfId="0" applyFont="1" applyFill="1" applyBorder="1"/>
    <xf numFmtId="0" fontId="9" fillId="13" borderId="2" xfId="0" applyFont="1" applyFill="1" applyBorder="1"/>
    <xf numFmtId="0" fontId="0" fillId="0" borderId="36" xfId="0" applyBorder="1"/>
    <xf numFmtId="0" fontId="9" fillId="0" borderId="25" xfId="0" applyFont="1" applyFill="1" applyBorder="1"/>
    <xf numFmtId="0" fontId="9" fillId="13" borderId="28" xfId="0" applyFont="1" applyFill="1" applyBorder="1"/>
    <xf numFmtId="0" fontId="9" fillId="0" borderId="0" xfId="0" applyFont="1" applyFill="1"/>
    <xf numFmtId="0" fontId="35" fillId="0" borderId="37" xfId="0" applyFont="1" applyBorder="1"/>
    <xf numFmtId="0" fontId="0" fillId="13" borderId="31" xfId="0" applyFill="1" applyBorder="1"/>
    <xf numFmtId="0" fontId="0" fillId="0" borderId="31" xfId="0" applyBorder="1"/>
    <xf numFmtId="0" fontId="0" fillId="5" borderId="38" xfId="0" applyFill="1" applyBorder="1" applyProtection="1">
      <protection locked="0"/>
    </xf>
    <xf numFmtId="0" fontId="0" fillId="13" borderId="38" xfId="0" applyFill="1" applyBorder="1"/>
    <xf numFmtId="0" fontId="0" fillId="13" borderId="39" xfId="0" applyFill="1" applyBorder="1"/>
    <xf numFmtId="0" fontId="0" fillId="13" borderId="40" xfId="0" applyFill="1" applyBorder="1"/>
    <xf numFmtId="0" fontId="0" fillId="13" borderId="0" xfId="0" applyFill="1" applyBorder="1"/>
    <xf numFmtId="0" fontId="42" fillId="0" borderId="0" xfId="0" applyFont="1" applyFill="1"/>
    <xf numFmtId="0" fontId="0" fillId="5" borderId="2" xfId="0" applyFill="1" applyBorder="1" applyProtection="1">
      <protection locked="0"/>
    </xf>
    <xf numFmtId="0" fontId="0" fillId="13" borderId="28" xfId="0" applyFill="1" applyBorder="1" applyProtection="1"/>
    <xf numFmtId="0" fontId="42" fillId="0" borderId="0" xfId="0" applyFont="1" applyFill="1" applyBorder="1"/>
    <xf numFmtId="0" fontId="0" fillId="0" borderId="25" xfId="0" applyBorder="1"/>
    <xf numFmtId="0" fontId="0" fillId="0" borderId="28" xfId="0" applyBorder="1"/>
    <xf numFmtId="0" fontId="0" fillId="0" borderId="29" xfId="0" applyBorder="1"/>
    <xf numFmtId="0" fontId="0" fillId="0" borderId="41" xfId="0" applyBorder="1"/>
    <xf numFmtId="0" fontId="0" fillId="13" borderId="42" xfId="0" applyFill="1" applyBorder="1"/>
    <xf numFmtId="0" fontId="0" fillId="0" borderId="43" xfId="0" applyBorder="1"/>
    <xf numFmtId="0" fontId="0" fillId="0" borderId="44" xfId="0" applyBorder="1"/>
    <xf numFmtId="0" fontId="0" fillId="0" borderId="42" xfId="0" applyBorder="1"/>
    <xf numFmtId="0" fontId="0" fillId="13" borderId="43" xfId="0" applyFill="1" applyBorder="1"/>
    <xf numFmtId="0" fontId="42" fillId="0" borderId="0" xfId="0" applyFont="1"/>
    <xf numFmtId="3" fontId="0" fillId="0" borderId="25" xfId="0" applyNumberFormat="1" applyFill="1" applyBorder="1"/>
    <xf numFmtId="0" fontId="42" fillId="0" borderId="26" xfId="0" applyFont="1" applyBorder="1"/>
    <xf numFmtId="0" fontId="42" fillId="13" borderId="0" xfId="0" applyFont="1" applyFill="1"/>
    <xf numFmtId="3" fontId="0" fillId="13" borderId="25" xfId="0" applyNumberFormat="1" applyFill="1" applyBorder="1"/>
    <xf numFmtId="0" fontId="42" fillId="14" borderId="26" xfId="0" applyFont="1" applyFill="1" applyBorder="1"/>
    <xf numFmtId="0" fontId="42" fillId="13" borderId="0" xfId="0" applyFont="1" applyFill="1" applyBorder="1"/>
    <xf numFmtId="0" fontId="42" fillId="0" borderId="0" xfId="0" applyFont="1" applyBorder="1"/>
    <xf numFmtId="3" fontId="0" fillId="13" borderId="2" xfId="0" applyNumberFormat="1" applyFill="1" applyBorder="1"/>
    <xf numFmtId="0" fontId="0" fillId="0" borderId="45" xfId="0" applyBorder="1"/>
    <xf numFmtId="0" fontId="0" fillId="0" borderId="4" xfId="0" applyFill="1" applyBorder="1"/>
    <xf numFmtId="0" fontId="0" fillId="5" borderId="4" xfId="0" applyFill="1" applyBorder="1" applyProtection="1">
      <protection locked="0"/>
    </xf>
    <xf numFmtId="3" fontId="0" fillId="0" borderId="4" xfId="0" applyNumberFormat="1" applyFill="1" applyBorder="1"/>
    <xf numFmtId="3" fontId="0" fillId="0" borderId="46" xfId="0" applyNumberFormat="1" applyFill="1" applyBorder="1"/>
    <xf numFmtId="0" fontId="0" fillId="0" borderId="47" xfId="0" applyBorder="1"/>
    <xf numFmtId="3" fontId="0" fillId="0" borderId="2" xfId="0" applyNumberFormat="1" applyFill="1" applyBorder="1"/>
    <xf numFmtId="0" fontId="0" fillId="15" borderId="25" xfId="0" applyFill="1" applyBorder="1"/>
    <xf numFmtId="0" fontId="59" fillId="0" borderId="0" xfId="0" applyFont="1"/>
    <xf numFmtId="14" fontId="0" fillId="0" borderId="0" xfId="0" applyNumberFormat="1"/>
    <xf numFmtId="0" fontId="43" fillId="10" borderId="0" xfId="0" applyFont="1" applyFill="1" applyAlignment="1">
      <alignment horizontal="center"/>
    </xf>
    <xf numFmtId="0" fontId="56" fillId="4" borderId="0" xfId="0" applyFont="1" applyFill="1" applyBorder="1" applyAlignment="1">
      <alignment horizontal="center"/>
    </xf>
    <xf numFmtId="0" fontId="9" fillId="4" borderId="1" xfId="0" applyFont="1" applyFill="1" applyBorder="1" applyAlignment="1">
      <alignment horizontal="center" vertical="center"/>
    </xf>
    <xf numFmtId="0" fontId="62" fillId="10" borderId="1" xfId="0" applyFont="1" applyFill="1" applyBorder="1" applyAlignment="1">
      <alignment horizontal="center"/>
    </xf>
    <xf numFmtId="0" fontId="42" fillId="4" borderId="0" xfId="0" applyFont="1" applyFill="1" applyAlignment="1">
      <alignment horizontal="center"/>
    </xf>
    <xf numFmtId="165" fontId="11" fillId="4" borderId="48" xfId="0" applyNumberFormat="1" applyFont="1" applyFill="1" applyBorder="1" applyAlignment="1" applyProtection="1">
      <alignment horizontal="center" vertical="center"/>
    </xf>
    <xf numFmtId="39" fontId="11" fillId="4" borderId="16" xfId="0" applyNumberFormat="1" applyFont="1" applyFill="1" applyBorder="1" applyAlignment="1">
      <alignment horizontal="center" vertical="center"/>
    </xf>
    <xf numFmtId="0" fontId="11" fillId="4" borderId="7" xfId="0" applyFont="1" applyFill="1" applyBorder="1" applyAlignment="1">
      <alignment horizontal="center"/>
    </xf>
    <xf numFmtId="0" fontId="0" fillId="4" borderId="49" xfId="0" applyFill="1" applyBorder="1"/>
    <xf numFmtId="0" fontId="56" fillId="4" borderId="0" xfId="0" applyFont="1" applyFill="1" applyBorder="1" applyAlignment="1" applyProtection="1">
      <alignment horizontal="center"/>
      <protection hidden="1"/>
    </xf>
    <xf numFmtId="0" fontId="63" fillId="4" borderId="0" xfId="0" applyFont="1" applyFill="1" applyBorder="1" applyAlignment="1" applyProtection="1">
      <alignment horizontal="center"/>
      <protection locked="0"/>
    </xf>
    <xf numFmtId="0" fontId="64" fillId="4" borderId="0" xfId="0" applyFont="1" applyFill="1" applyBorder="1" applyAlignment="1" applyProtection="1">
      <alignment horizontal="center"/>
      <protection hidden="1"/>
    </xf>
    <xf numFmtId="0" fontId="34" fillId="4" borderId="0" xfId="0" applyFont="1" applyFill="1" applyBorder="1" applyAlignment="1">
      <alignment horizontal="center"/>
    </xf>
    <xf numFmtId="0" fontId="10" fillId="6" borderId="4" xfId="0" applyFont="1" applyFill="1" applyBorder="1" applyAlignment="1" applyProtection="1">
      <alignment horizontal="center"/>
      <protection locked="0"/>
    </xf>
    <xf numFmtId="0" fontId="9" fillId="4" borderId="0" xfId="0" applyFont="1" applyFill="1" applyBorder="1" applyAlignment="1">
      <alignment horizontal="left"/>
    </xf>
    <xf numFmtId="172" fontId="0" fillId="0" borderId="1" xfId="1" applyNumberFormat="1" applyFont="1" applyBorder="1" applyAlignment="1">
      <alignment horizontal="center"/>
    </xf>
    <xf numFmtId="0" fontId="7" fillId="16" borderId="0" xfId="0" applyFont="1" applyFill="1" applyBorder="1" applyAlignment="1">
      <alignment horizontal="center"/>
    </xf>
    <xf numFmtId="0" fontId="9" fillId="16" borderId="0" xfId="0" applyFont="1" applyFill="1" applyBorder="1"/>
    <xf numFmtId="0" fontId="43" fillId="16" borderId="0" xfId="0" applyFont="1" applyFill="1" applyBorder="1" applyAlignment="1">
      <alignment horizontal="center"/>
    </xf>
    <xf numFmtId="0" fontId="42" fillId="4" borderId="0" xfId="0" applyFont="1" applyFill="1" applyAlignment="1">
      <alignment horizontal="left"/>
    </xf>
    <xf numFmtId="0" fontId="5" fillId="6" borderId="4" xfId="0" applyFont="1" applyFill="1" applyBorder="1" applyAlignment="1" applyProtection="1">
      <alignment horizontal="center"/>
      <protection locked="0"/>
    </xf>
    <xf numFmtId="0" fontId="6" fillId="4" borderId="0" xfId="0" applyFont="1" applyFill="1" applyBorder="1" applyAlignment="1">
      <alignment horizontal="right"/>
    </xf>
    <xf numFmtId="2" fontId="0" fillId="4" borderId="0" xfId="0" applyNumberFormat="1" applyFill="1" applyBorder="1"/>
    <xf numFmtId="2" fontId="5" fillId="4" borderId="0" xfId="0" applyNumberFormat="1" applyFont="1" applyFill="1" applyBorder="1"/>
    <xf numFmtId="164" fontId="5" fillId="4" borderId="0" xfId="0" applyNumberFormat="1" applyFont="1" applyFill="1" applyBorder="1"/>
    <xf numFmtId="0" fontId="0" fillId="4" borderId="0" xfId="0" quotePrefix="1" applyFill="1" applyBorder="1" applyAlignment="1">
      <alignment horizontal="center"/>
    </xf>
    <xf numFmtId="169" fontId="0" fillId="0" borderId="1" xfId="0" applyNumberFormat="1" applyBorder="1" applyAlignment="1">
      <alignment horizontal="center"/>
    </xf>
    <xf numFmtId="0" fontId="51" fillId="4" borderId="0" xfId="0" applyFont="1" applyFill="1" applyAlignment="1">
      <alignment horizontal="center"/>
    </xf>
    <xf numFmtId="0" fontId="13" fillId="4" borderId="49" xfId="3" applyFill="1" applyBorder="1" applyAlignment="1" applyProtection="1"/>
    <xf numFmtId="0" fontId="32" fillId="4" borderId="0" xfId="0" applyFont="1" applyFill="1" applyBorder="1" applyAlignment="1">
      <alignment horizontal="centerContinuous"/>
    </xf>
    <xf numFmtId="0" fontId="8" fillId="4" borderId="0" xfId="0" applyFont="1" applyFill="1" applyBorder="1"/>
    <xf numFmtId="0" fontId="6" fillId="4" borderId="0" xfId="0" applyFont="1" applyFill="1" applyBorder="1"/>
    <xf numFmtId="37" fontId="24" fillId="4" borderId="0" xfId="0" applyNumberFormat="1" applyFont="1" applyFill="1" applyBorder="1" applyAlignment="1" applyProtection="1">
      <alignment horizontal="center"/>
      <protection hidden="1"/>
    </xf>
    <xf numFmtId="0" fontId="9" fillId="4" borderId="0" xfId="0" applyFont="1" applyFill="1" applyBorder="1"/>
    <xf numFmtId="0" fontId="34" fillId="4" borderId="0" xfId="0" applyFont="1" applyFill="1" applyBorder="1" applyAlignment="1"/>
    <xf numFmtId="2" fontId="0" fillId="4" borderId="0" xfId="0" applyNumberFormat="1" applyFill="1"/>
    <xf numFmtId="164" fontId="0" fillId="4" borderId="0" xfId="0" applyNumberFormat="1" applyFill="1"/>
    <xf numFmtId="0" fontId="19" fillId="4" borderId="0" xfId="0" applyFont="1" applyFill="1" applyBorder="1" applyAlignment="1">
      <alignment horizontal="right"/>
    </xf>
    <xf numFmtId="0" fontId="19" fillId="4" borderId="0" xfId="0" applyFont="1" applyFill="1" applyBorder="1" applyAlignment="1">
      <alignment horizontal="center"/>
    </xf>
    <xf numFmtId="0" fontId="20" fillId="4" borderId="0" xfId="0" applyFont="1" applyFill="1" applyBorder="1" applyAlignment="1">
      <alignment horizontal="right"/>
    </xf>
    <xf numFmtId="0" fontId="34" fillId="4" borderId="0" xfId="0" applyFont="1" applyFill="1" applyAlignment="1">
      <alignment horizontal="center"/>
    </xf>
    <xf numFmtId="37" fontId="10" fillId="6" borderId="4" xfId="0" applyNumberFormat="1" applyFont="1" applyFill="1" applyBorder="1" applyAlignment="1" applyProtection="1">
      <alignment horizontal="center"/>
      <protection locked="0"/>
    </xf>
    <xf numFmtId="0" fontId="0" fillId="4" borderId="0" xfId="0" applyFill="1" applyProtection="1">
      <protection hidden="1"/>
    </xf>
    <xf numFmtId="0" fontId="34" fillId="4" borderId="0" xfId="0" applyFont="1" applyFill="1" applyAlignment="1" applyProtection="1">
      <alignment horizontal="center"/>
      <protection hidden="1"/>
    </xf>
    <xf numFmtId="2" fontId="0" fillId="4" borderId="50" xfId="0" applyNumberFormat="1" applyFill="1" applyBorder="1" applyAlignment="1" applyProtection="1">
      <alignment horizontal="right"/>
      <protection hidden="1"/>
    </xf>
    <xf numFmtId="0" fontId="66" fillId="4" borderId="36" xfId="0" applyFont="1" applyFill="1" applyBorder="1" applyAlignment="1" applyProtection="1">
      <alignment horizontal="left"/>
      <protection hidden="1"/>
    </xf>
    <xf numFmtId="2" fontId="0" fillId="4" borderId="51" xfId="0" applyNumberFormat="1" applyFill="1" applyBorder="1" applyAlignment="1" applyProtection="1">
      <alignment horizontal="right"/>
      <protection hidden="1"/>
    </xf>
    <xf numFmtId="0" fontId="66" fillId="4" borderId="52" xfId="0" applyFont="1" applyFill="1" applyBorder="1" applyAlignment="1" applyProtection="1">
      <alignment horizontal="left"/>
      <protection hidden="1"/>
    </xf>
    <xf numFmtId="0" fontId="1" fillId="4" borderId="0" xfId="0" applyFont="1" applyFill="1"/>
    <xf numFmtId="0" fontId="10" fillId="6" borderId="53" xfId="0" applyFont="1" applyFill="1" applyBorder="1" applyAlignment="1" applyProtection="1">
      <alignment horizontal="center"/>
      <protection locked="0"/>
    </xf>
    <xf numFmtId="0" fontId="9" fillId="0" borderId="1" xfId="0" applyFont="1" applyBorder="1" applyAlignment="1">
      <alignment horizontal="right"/>
    </xf>
    <xf numFmtId="172" fontId="10" fillId="6" borderId="53" xfId="1" applyNumberFormat="1" applyFont="1" applyFill="1" applyBorder="1" applyAlignment="1" applyProtection="1">
      <alignment horizontal="center"/>
      <protection locked="0"/>
    </xf>
    <xf numFmtId="0" fontId="66" fillId="4" borderId="0" xfId="0" applyFont="1" applyFill="1" applyBorder="1" applyAlignment="1" applyProtection="1">
      <alignment horizontal="left"/>
      <protection hidden="1"/>
    </xf>
    <xf numFmtId="0" fontId="36" fillId="4" borderId="0" xfId="0" applyFont="1" applyFill="1" applyBorder="1" applyAlignment="1">
      <alignment horizontal="right"/>
    </xf>
    <xf numFmtId="2" fontId="0" fillId="4" borderId="50" xfId="0" applyNumberFormat="1" applyFill="1" applyBorder="1" applyProtection="1">
      <protection hidden="1"/>
    </xf>
    <xf numFmtId="0" fontId="5" fillId="4" borderId="0" xfId="0" applyFont="1" applyFill="1" applyAlignment="1">
      <alignment horizontal="left" vertical="center"/>
    </xf>
    <xf numFmtId="2" fontId="34" fillId="4" borderId="0" xfId="0" applyNumberFormat="1" applyFont="1" applyFill="1" applyBorder="1" applyProtection="1"/>
    <xf numFmtId="0" fontId="31" fillId="4" borderId="0" xfId="0" applyFont="1" applyFill="1" applyBorder="1" applyAlignment="1">
      <alignment horizontal="centerContinuous"/>
    </xf>
    <xf numFmtId="37" fontId="24" fillId="4" borderId="0" xfId="0" applyNumberFormat="1" applyFont="1" applyFill="1" applyBorder="1" applyAlignment="1" applyProtection="1">
      <alignment horizontal="center"/>
    </xf>
    <xf numFmtId="2" fontId="0" fillId="4" borderId="2" xfId="0" applyNumberFormat="1" applyFill="1" applyBorder="1" applyProtection="1">
      <protection hidden="1"/>
    </xf>
    <xf numFmtId="2" fontId="0" fillId="4" borderId="0" xfId="0" applyNumberFormat="1" applyFill="1" applyBorder="1" applyProtection="1">
      <protection hidden="1"/>
    </xf>
    <xf numFmtId="169" fontId="0" fillId="4" borderId="0" xfId="0" applyNumberFormat="1" applyFill="1" applyBorder="1"/>
    <xf numFmtId="165" fontId="24" fillId="4" borderId="0" xfId="0" applyNumberFormat="1" applyFont="1" applyFill="1" applyBorder="1" applyAlignment="1" applyProtection="1">
      <alignment horizontal="center"/>
      <protection hidden="1"/>
    </xf>
    <xf numFmtId="0" fontId="6" fillId="4" borderId="0" xfId="0" applyFont="1" applyFill="1" applyBorder="1" applyAlignment="1">
      <alignment horizontal="center"/>
    </xf>
    <xf numFmtId="0" fontId="33" fillId="4" borderId="0" xfId="0" applyFont="1" applyFill="1" applyBorder="1"/>
    <xf numFmtId="164" fontId="16" fillId="4" borderId="0" xfId="0" applyNumberFormat="1" applyFont="1" applyFill="1" applyBorder="1" applyAlignment="1" applyProtection="1">
      <alignment horizontal="center"/>
      <protection hidden="1"/>
    </xf>
    <xf numFmtId="172" fontId="10" fillId="6" borderId="4" xfId="1" applyNumberFormat="1" applyFont="1" applyFill="1" applyBorder="1" applyAlignment="1" applyProtection="1">
      <alignment horizontal="center"/>
      <protection locked="0"/>
    </xf>
    <xf numFmtId="2" fontId="65" fillId="4" borderId="0" xfId="0" applyNumberFormat="1" applyFont="1" applyFill="1"/>
    <xf numFmtId="0" fontId="14" fillId="4" borderId="50" xfId="0" applyFont="1" applyFill="1" applyBorder="1" applyAlignment="1" applyProtection="1">
      <alignment horizontal="left"/>
      <protection hidden="1"/>
    </xf>
    <xf numFmtId="0" fontId="57" fillId="4" borderId="36" xfId="0" applyFont="1" applyFill="1" applyBorder="1"/>
    <xf numFmtId="0" fontId="14" fillId="4" borderId="51" xfId="0" applyFont="1" applyFill="1" applyBorder="1" applyAlignment="1" applyProtection="1">
      <alignment horizontal="left"/>
      <protection hidden="1"/>
    </xf>
    <xf numFmtId="0" fontId="57" fillId="4" borderId="52" xfId="0" applyFont="1" applyFill="1" applyBorder="1"/>
    <xf numFmtId="0" fontId="14" fillId="4" borderId="54" xfId="0" applyFont="1" applyFill="1" applyBorder="1" applyAlignment="1" applyProtection="1">
      <alignment horizontal="left"/>
      <protection hidden="1"/>
    </xf>
    <xf numFmtId="0" fontId="23" fillId="4" borderId="1" xfId="0" applyFont="1" applyFill="1" applyBorder="1" applyAlignment="1">
      <alignment horizontal="center"/>
    </xf>
    <xf numFmtId="0" fontId="0" fillId="4" borderId="0" xfId="0" applyFill="1" applyAlignment="1">
      <alignment horizontal="right"/>
    </xf>
    <xf numFmtId="0" fontId="66" fillId="4" borderId="0" xfId="0" applyFont="1" applyFill="1"/>
    <xf numFmtId="0" fontId="0" fillId="4" borderId="0" xfId="0" applyFill="1" applyBorder="1" applyAlignment="1">
      <alignment horizontal="right"/>
    </xf>
    <xf numFmtId="0" fontId="11" fillId="6" borderId="1" xfId="0" applyFont="1" applyFill="1" applyBorder="1" applyProtection="1">
      <protection locked="0"/>
    </xf>
    <xf numFmtId="169" fontId="11" fillId="6" borderId="1" xfId="0" applyNumberFormat="1" applyFont="1" applyFill="1" applyBorder="1" applyProtection="1">
      <protection locked="0"/>
    </xf>
    <xf numFmtId="0" fontId="11" fillId="6" borderId="1" xfId="0" applyFont="1" applyFill="1" applyBorder="1" applyAlignment="1" applyProtection="1">
      <alignment horizontal="center"/>
      <protection locked="0"/>
    </xf>
    <xf numFmtId="0" fontId="0" fillId="4" borderId="1" xfId="0" applyFill="1" applyBorder="1"/>
    <xf numFmtId="0" fontId="0" fillId="4" borderId="1" xfId="0" applyNumberFormat="1" applyFill="1" applyBorder="1"/>
    <xf numFmtId="0" fontId="0" fillId="4" borderId="1" xfId="0" applyFill="1" applyBorder="1" applyAlignment="1">
      <alignment horizontal="right"/>
    </xf>
    <xf numFmtId="169" fontId="0" fillId="4" borderId="1" xfId="0" applyNumberFormat="1" applyFill="1" applyBorder="1"/>
    <xf numFmtId="2" fontId="0" fillId="4" borderId="1" xfId="0" applyNumberFormat="1" applyFill="1" applyBorder="1"/>
    <xf numFmtId="4" fontId="0" fillId="4" borderId="1" xfId="0" applyNumberFormat="1" applyFill="1" applyBorder="1"/>
    <xf numFmtId="175" fontId="0" fillId="4" borderId="1" xfId="0" applyNumberFormat="1" applyFill="1" applyBorder="1"/>
    <xf numFmtId="0" fontId="0" fillId="4" borderId="1" xfId="0" applyFill="1" applyBorder="1" applyAlignment="1">
      <alignment horizontal="center"/>
    </xf>
    <xf numFmtId="0" fontId="43" fillId="10" borderId="0" xfId="0" applyFont="1" applyFill="1"/>
    <xf numFmtId="0" fontId="67" fillId="10" borderId="0" xfId="0" applyFont="1" applyFill="1"/>
    <xf numFmtId="0" fontId="56" fillId="4" borderId="0" xfId="0" applyFont="1" applyFill="1" applyBorder="1" applyProtection="1">
      <protection locked="0"/>
    </xf>
    <xf numFmtId="0" fontId="68" fillId="4" borderId="0" xfId="0" applyFont="1" applyFill="1"/>
    <xf numFmtId="0" fontId="7" fillId="4" borderId="0" xfId="0" applyFont="1" applyFill="1"/>
    <xf numFmtId="0" fontId="5" fillId="6" borderId="1" xfId="0" applyFont="1" applyFill="1" applyBorder="1" applyProtection="1">
      <protection locked="0"/>
    </xf>
    <xf numFmtId="2" fontId="5" fillId="6" borderId="1" xfId="0" applyNumberFormat="1" applyFont="1" applyFill="1" applyBorder="1" applyProtection="1">
      <protection locked="0"/>
    </xf>
    <xf numFmtId="0" fontId="7" fillId="4" borderId="0" xfId="0" applyFont="1" applyFill="1" applyAlignment="1">
      <alignment horizontal="center"/>
    </xf>
    <xf numFmtId="0" fontId="7" fillId="4" borderId="0" xfId="0" applyFont="1" applyFill="1" applyAlignment="1">
      <alignment horizontal="left"/>
    </xf>
    <xf numFmtId="2" fontId="0" fillId="4" borderId="0" xfId="0" applyNumberFormat="1" applyFill="1" applyProtection="1"/>
    <xf numFmtId="0" fontId="12" fillId="4" borderId="0" xfId="0" applyFont="1" applyFill="1" applyBorder="1" applyAlignment="1">
      <alignment horizontal="center"/>
    </xf>
    <xf numFmtId="0" fontId="12" fillId="4" borderId="0" xfId="0" applyFont="1" applyFill="1" applyBorder="1"/>
    <xf numFmtId="2" fontId="12" fillId="4" borderId="0" xfId="0" applyNumberFormat="1" applyFont="1" applyFill="1" applyBorder="1"/>
    <xf numFmtId="166" fontId="12" fillId="4" borderId="0" xfId="0" applyNumberFormat="1" applyFont="1" applyFill="1" applyBorder="1"/>
    <xf numFmtId="0" fontId="10" fillId="4" borderId="0" xfId="0" applyFont="1" applyFill="1" applyAlignment="1">
      <alignment horizontal="center"/>
    </xf>
    <xf numFmtId="0" fontId="4" fillId="4" borderId="0" xfId="0" applyFont="1" applyFill="1" applyProtection="1">
      <protection hidden="1"/>
    </xf>
    <xf numFmtId="0" fontId="20" fillId="4" borderId="0" xfId="0" applyFont="1" applyFill="1" applyAlignment="1">
      <alignment horizontal="center"/>
    </xf>
    <xf numFmtId="2" fontId="5" fillId="6" borderId="4" xfId="0" applyNumberFormat="1" applyFont="1" applyFill="1" applyBorder="1" applyAlignment="1" applyProtection="1">
      <alignment horizontal="center"/>
      <protection locked="0"/>
    </xf>
    <xf numFmtId="169" fontId="5" fillId="6" borderId="4" xfId="0" applyNumberFormat="1" applyFont="1" applyFill="1" applyBorder="1" applyAlignment="1" applyProtection="1">
      <alignment horizontal="center"/>
      <protection locked="0"/>
    </xf>
    <xf numFmtId="0" fontId="20" fillId="4" borderId="0" xfId="0" applyFont="1" applyFill="1" applyAlignment="1">
      <alignment horizontal="left"/>
    </xf>
    <xf numFmtId="0" fontId="26" fillId="4" borderId="0" xfId="0" applyFont="1" applyFill="1"/>
    <xf numFmtId="1" fontId="5" fillId="6" borderId="4" xfId="0" applyNumberFormat="1" applyFont="1" applyFill="1" applyBorder="1" applyAlignment="1" applyProtection="1">
      <alignment horizontal="center"/>
      <protection locked="0"/>
    </xf>
    <xf numFmtId="0" fontId="0" fillId="0" borderId="0" xfId="0" applyAlignment="1">
      <alignment horizontal="right"/>
    </xf>
    <xf numFmtId="2" fontId="0" fillId="6" borderId="1" xfId="0" applyNumberFormat="1" applyFill="1" applyBorder="1"/>
    <xf numFmtId="164" fontId="0" fillId="0" borderId="0" xfId="0" applyNumberFormat="1"/>
    <xf numFmtId="0" fontId="27" fillId="4" borderId="1" xfId="0" applyFont="1" applyFill="1" applyBorder="1" applyAlignment="1">
      <alignment horizontal="center" vertical="center"/>
    </xf>
    <xf numFmtId="0" fontId="27" fillId="4" borderId="1" xfId="0" applyFont="1" applyFill="1" applyBorder="1" applyAlignment="1" applyProtection="1">
      <alignment horizontal="center" vertical="center"/>
      <protection hidden="1"/>
    </xf>
    <xf numFmtId="43" fontId="42" fillId="4" borderId="7" xfId="1" applyFont="1" applyFill="1" applyBorder="1" applyAlignment="1" applyProtection="1">
      <alignment horizontal="center"/>
    </xf>
    <xf numFmtId="0" fontId="56" fillId="4" borderId="0" xfId="0" applyFont="1" applyFill="1" applyAlignment="1" applyProtection="1">
      <alignment horizontal="center"/>
      <protection hidden="1"/>
    </xf>
    <xf numFmtId="0" fontId="56" fillId="4" borderId="0" xfId="0" applyFont="1" applyFill="1" applyBorder="1" applyAlignment="1" applyProtection="1">
      <alignment vertical="top" wrapText="1"/>
      <protection locked="0" hidden="1"/>
    </xf>
    <xf numFmtId="0" fontId="0" fillId="4" borderId="0" xfId="0" applyFill="1" applyProtection="1">
      <protection locked="0" hidden="1"/>
    </xf>
    <xf numFmtId="0" fontId="9" fillId="5" borderId="1" xfId="0" applyFont="1" applyFill="1" applyBorder="1" applyAlignment="1">
      <alignment horizontal="center"/>
    </xf>
    <xf numFmtId="0" fontId="9" fillId="5" borderId="0" xfId="0" applyFont="1" applyFill="1"/>
    <xf numFmtId="0" fontId="13" fillId="4" borderId="0" xfId="3" applyFill="1" applyBorder="1" applyAlignment="1" applyProtection="1"/>
    <xf numFmtId="0" fontId="51" fillId="4" borderId="0" xfId="0" applyFont="1" applyFill="1" applyBorder="1"/>
    <xf numFmtId="0" fontId="51" fillId="4" borderId="0" xfId="0" applyFont="1" applyFill="1" applyBorder="1" applyAlignment="1">
      <alignment horizontal="left"/>
    </xf>
    <xf numFmtId="0" fontId="43" fillId="10" borderId="0" xfId="0" applyFont="1" applyFill="1" applyBorder="1" applyAlignment="1">
      <alignment horizontal="center"/>
    </xf>
    <xf numFmtId="0" fontId="6" fillId="9" borderId="0" xfId="0" applyFont="1" applyFill="1" applyAlignment="1">
      <alignment horizontal="center"/>
    </xf>
    <xf numFmtId="0" fontId="19" fillId="4" borderId="55" xfId="3" applyFont="1" applyFill="1" applyBorder="1" applyAlignment="1" applyProtection="1">
      <alignment horizontal="right" vertical="center"/>
    </xf>
    <xf numFmtId="0" fontId="19" fillId="4" borderId="49" xfId="0" applyFont="1" applyFill="1" applyBorder="1" applyAlignment="1">
      <alignment horizontal="center"/>
    </xf>
    <xf numFmtId="0" fontId="19" fillId="4" borderId="0" xfId="0" applyFont="1" applyFill="1" applyBorder="1" applyAlignment="1">
      <alignment horizontal="center" vertical="center"/>
    </xf>
    <xf numFmtId="0" fontId="66" fillId="4" borderId="48" xfId="0" applyFont="1" applyFill="1" applyBorder="1" applyAlignment="1">
      <alignment horizontal="center"/>
    </xf>
    <xf numFmtId="0" fontId="66" fillId="4" borderId="16" xfId="0" applyFont="1" applyFill="1" applyBorder="1" applyAlignment="1">
      <alignment horizontal="center"/>
    </xf>
    <xf numFmtId="172" fontId="42" fillId="4" borderId="16" xfId="1" applyNumberFormat="1" applyFont="1" applyFill="1" applyBorder="1" applyAlignment="1" applyProtection="1">
      <alignment horizontal="center"/>
    </xf>
    <xf numFmtId="172" fontId="42" fillId="4" borderId="7" xfId="1" applyNumberFormat="1" applyFont="1" applyFill="1" applyBorder="1" applyAlignment="1" applyProtection="1">
      <alignment horizontal="center"/>
    </xf>
    <xf numFmtId="43" fontId="42" fillId="4" borderId="48" xfId="1" applyFont="1" applyFill="1" applyBorder="1" applyAlignment="1" applyProtection="1">
      <alignment horizontal="center"/>
    </xf>
    <xf numFmtId="0" fontId="66" fillId="4" borderId="0" xfId="0" applyFont="1" applyFill="1" applyAlignment="1">
      <alignment horizontal="right"/>
    </xf>
    <xf numFmtId="0" fontId="73" fillId="17" borderId="0" xfId="0" applyFont="1" applyFill="1" applyAlignment="1">
      <alignment wrapText="1"/>
    </xf>
    <xf numFmtId="0" fontId="70" fillId="18" borderId="1" xfId="0" applyFont="1" applyFill="1" applyBorder="1" applyAlignment="1">
      <alignment horizontal="center" wrapText="1"/>
    </xf>
    <xf numFmtId="0" fontId="71" fillId="18" borderId="1" xfId="0" applyFont="1" applyFill="1" applyBorder="1" applyAlignment="1">
      <alignment horizontal="center" wrapText="1"/>
    </xf>
    <xf numFmtId="0" fontId="73" fillId="18" borderId="1" xfId="0" applyFont="1" applyFill="1" applyBorder="1" applyAlignment="1">
      <alignment horizontal="center" wrapText="1"/>
    </xf>
    <xf numFmtId="0" fontId="73" fillId="17" borderId="1" xfId="0" applyFont="1" applyFill="1" applyBorder="1" applyAlignment="1">
      <alignment wrapText="1"/>
    </xf>
    <xf numFmtId="0" fontId="1" fillId="0" borderId="1" xfId="0" applyFont="1" applyBorder="1" applyAlignment="1">
      <alignment horizontal="center"/>
    </xf>
    <xf numFmtId="0" fontId="75" fillId="17" borderId="1" xfId="0" applyFont="1" applyFill="1" applyBorder="1"/>
    <xf numFmtId="0" fontId="76" fillId="0" borderId="1" xfId="0" applyFont="1" applyBorder="1" applyAlignment="1">
      <alignment horizontal="center"/>
    </xf>
    <xf numFmtId="2" fontId="75" fillId="17" borderId="1" xfId="0" applyNumberFormat="1" applyFont="1" applyFill="1" applyBorder="1" applyAlignment="1">
      <alignment wrapText="1"/>
    </xf>
    <xf numFmtId="0" fontId="42" fillId="4" borderId="0" xfId="0" applyFont="1" applyFill="1" applyBorder="1" applyAlignment="1">
      <alignment horizontal="left"/>
    </xf>
    <xf numFmtId="169" fontId="75" fillId="17" borderId="1" xfId="0" applyNumberFormat="1" applyFont="1" applyFill="1" applyBorder="1" applyAlignment="1">
      <alignment wrapText="1"/>
    </xf>
    <xf numFmtId="0" fontId="73" fillId="18" borderId="1" xfId="0" applyFont="1" applyFill="1" applyBorder="1" applyAlignment="1">
      <alignment horizontal="right" wrapText="1"/>
    </xf>
    <xf numFmtId="169" fontId="7" fillId="18" borderId="0" xfId="0" applyNumberFormat="1" applyFont="1" applyFill="1" applyAlignment="1">
      <alignment horizontal="center"/>
    </xf>
    <xf numFmtId="0" fontId="42" fillId="18" borderId="0" xfId="0" applyFont="1" applyFill="1" applyBorder="1" applyAlignment="1">
      <alignment horizontal="center"/>
    </xf>
    <xf numFmtId="0" fontId="42" fillId="18" borderId="0" xfId="0" applyFont="1" applyFill="1" applyBorder="1" applyAlignment="1">
      <alignment horizontal="left"/>
    </xf>
    <xf numFmtId="169" fontId="7" fillId="18" borderId="0" xfId="0" applyNumberFormat="1" applyFont="1" applyFill="1" applyAlignment="1">
      <alignment horizontal="right"/>
    </xf>
    <xf numFmtId="169" fontId="7" fillId="18" borderId="0" xfId="0" applyNumberFormat="1" applyFont="1" applyFill="1" applyBorder="1" applyAlignment="1">
      <alignment horizontal="right"/>
    </xf>
    <xf numFmtId="2" fontId="73" fillId="17" borderId="0" xfId="0" applyNumberFormat="1" applyFont="1" applyFill="1" applyAlignment="1">
      <alignment wrapText="1"/>
    </xf>
    <xf numFmtId="2" fontId="73" fillId="17" borderId="1" xfId="0" applyNumberFormat="1" applyFont="1" applyFill="1" applyBorder="1" applyAlignment="1">
      <alignment wrapText="1"/>
    </xf>
    <xf numFmtId="169" fontId="7" fillId="4" borderId="0" xfId="0" applyNumberFormat="1" applyFont="1" applyFill="1" applyBorder="1" applyAlignment="1">
      <alignment horizontal="right"/>
    </xf>
    <xf numFmtId="0" fontId="71" fillId="18" borderId="0" xfId="0" applyFont="1" applyFill="1" applyAlignment="1">
      <alignment horizontal="center"/>
    </xf>
    <xf numFmtId="0" fontId="73" fillId="18" borderId="0" xfId="0" applyFont="1" applyFill="1" applyAlignment="1">
      <alignment horizontal="center"/>
    </xf>
    <xf numFmtId="0" fontId="75" fillId="17" borderId="0" xfId="0" applyFont="1" applyFill="1"/>
    <xf numFmtId="166" fontId="73" fillId="17" borderId="0" xfId="0" applyNumberFormat="1" applyFont="1" applyFill="1" applyAlignment="1">
      <alignment wrapText="1"/>
    </xf>
    <xf numFmtId="0" fontId="6" fillId="0" borderId="1" xfId="0" applyFont="1" applyBorder="1" applyAlignment="1">
      <alignment horizontal="right"/>
    </xf>
    <xf numFmtId="0" fontId="6" fillId="0" borderId="48" xfId="0" applyFont="1" applyBorder="1" applyAlignment="1">
      <alignment horizontal="right"/>
    </xf>
    <xf numFmtId="0" fontId="8" fillId="4" borderId="0" xfId="0" applyFont="1" applyFill="1" applyAlignment="1">
      <alignment horizontal="right"/>
    </xf>
    <xf numFmtId="2" fontId="7" fillId="18" borderId="4" xfId="0" applyNumberFormat="1" applyFont="1" applyFill="1" applyBorder="1" applyAlignment="1">
      <alignment horizontal="center"/>
    </xf>
    <xf numFmtId="1" fontId="7" fillId="18" borderId="4" xfId="0" applyNumberFormat="1" applyFont="1" applyFill="1" applyBorder="1" applyAlignment="1">
      <alignment horizontal="center"/>
    </xf>
    <xf numFmtId="1" fontId="9" fillId="18" borderId="0" xfId="0" applyNumberFormat="1" applyFont="1" applyFill="1" applyBorder="1"/>
    <xf numFmtId="0" fontId="6" fillId="18" borderId="0" xfId="0" applyFont="1" applyFill="1" applyBorder="1" applyAlignment="1">
      <alignment horizontal="right"/>
    </xf>
    <xf numFmtId="1" fontId="9" fillId="18" borderId="0" xfId="0" applyNumberFormat="1" applyFont="1" applyFill="1" applyBorder="1" applyAlignment="1">
      <alignment horizontal="right"/>
    </xf>
    <xf numFmtId="2" fontId="9" fillId="18" borderId="0" xfId="0" applyNumberFormat="1" applyFont="1" applyFill="1" applyBorder="1" applyAlignment="1">
      <alignment horizontal="center"/>
    </xf>
    <xf numFmtId="1" fontId="9" fillId="4" borderId="0" xfId="0" applyNumberFormat="1" applyFont="1" applyFill="1" applyBorder="1"/>
    <xf numFmtId="2" fontId="9" fillId="4" borderId="0" xfId="0" applyNumberFormat="1" applyFont="1" applyFill="1" applyBorder="1"/>
    <xf numFmtId="0" fontId="9" fillId="6" borderId="1" xfId="0" applyFont="1" applyFill="1" applyBorder="1" applyAlignment="1" applyProtection="1">
      <alignment horizontal="center"/>
      <protection locked="0"/>
    </xf>
    <xf numFmtId="172" fontId="9" fillId="18" borderId="1" xfId="1" applyNumberFormat="1" applyFont="1" applyFill="1" applyBorder="1"/>
    <xf numFmtId="172" fontId="9" fillId="6" borderId="1" xfId="1" applyNumberFormat="1" applyFont="1" applyFill="1" applyBorder="1" applyProtection="1">
      <protection locked="0"/>
    </xf>
    <xf numFmtId="0" fontId="9" fillId="4" borderId="0" xfId="0" applyFont="1" applyFill="1" applyAlignment="1">
      <alignment horizontal="right" vertical="center"/>
    </xf>
    <xf numFmtId="0" fontId="0" fillId="4" borderId="0" xfId="0" applyFill="1" applyBorder="1" applyAlignment="1">
      <alignment horizontal="left" wrapText="1"/>
    </xf>
    <xf numFmtId="0" fontId="0" fillId="4" borderId="0" xfId="0" applyFill="1" applyBorder="1" applyAlignment="1">
      <alignment horizontal="left"/>
    </xf>
    <xf numFmtId="0" fontId="11" fillId="4" borderId="0" xfId="0" applyFont="1" applyFill="1" applyBorder="1" applyAlignment="1">
      <alignment horizontal="center"/>
    </xf>
    <xf numFmtId="0" fontId="0" fillId="4" borderId="0" xfId="0" applyFill="1" applyBorder="1" applyAlignment="1" applyProtection="1">
      <alignment horizontal="center"/>
      <protection hidden="1"/>
    </xf>
    <xf numFmtId="0" fontId="5" fillId="4" borderId="0" xfId="0" applyFont="1" applyFill="1" applyAlignment="1"/>
    <xf numFmtId="0" fontId="69" fillId="4" borderId="0" xfId="0" applyFont="1" applyFill="1" applyAlignment="1">
      <alignment vertical="top" wrapText="1"/>
    </xf>
    <xf numFmtId="0" fontId="9" fillId="4" borderId="0" xfId="0" applyFont="1" applyFill="1" applyBorder="1" applyAlignment="1"/>
    <xf numFmtId="0" fontId="19" fillId="4" borderId="0" xfId="0" applyFont="1" applyFill="1"/>
    <xf numFmtId="1" fontId="24" fillId="4" borderId="0" xfId="0" applyNumberFormat="1" applyFont="1" applyFill="1" applyAlignment="1">
      <alignment horizontal="center"/>
    </xf>
    <xf numFmtId="1" fontId="81" fillId="4" borderId="0" xfId="0" applyNumberFormat="1" applyFont="1" applyFill="1" applyBorder="1" applyAlignment="1">
      <alignment horizontal="center"/>
    </xf>
    <xf numFmtId="0" fontId="80" fillId="4" borderId="0" xfId="0" applyFont="1" applyFill="1" applyAlignment="1">
      <alignment horizontal="center"/>
    </xf>
    <xf numFmtId="0" fontId="56" fillId="4" borderId="0" xfId="0" applyFont="1" applyFill="1" applyAlignment="1">
      <alignment horizontal="center"/>
    </xf>
    <xf numFmtId="0" fontId="9" fillId="6" borderId="0" xfId="0" applyFont="1" applyFill="1" applyAlignment="1">
      <alignment horizontal="center"/>
    </xf>
    <xf numFmtId="0" fontId="1" fillId="4" borderId="1" xfId="0" applyFont="1" applyFill="1" applyBorder="1"/>
    <xf numFmtId="172" fontId="0" fillId="0" borderId="1" xfId="1" applyNumberFormat="1" applyFont="1" applyBorder="1" applyAlignment="1">
      <alignment wrapText="1"/>
    </xf>
    <xf numFmtId="0" fontId="9" fillId="18" borderId="0" xfId="0" applyFont="1" applyFill="1" applyAlignment="1">
      <alignment horizontal="center"/>
    </xf>
    <xf numFmtId="172" fontId="11" fillId="18" borderId="0" xfId="0" applyNumberFormat="1" applyFont="1" applyFill="1" applyAlignment="1">
      <alignment horizontal="left"/>
    </xf>
    <xf numFmtId="0" fontId="42" fillId="0" borderId="0" xfId="0" applyFont="1" applyFill="1" applyAlignment="1">
      <alignment horizontal="left"/>
    </xf>
    <xf numFmtId="37" fontId="7" fillId="18" borderId="1" xfId="0" applyNumberFormat="1" applyFont="1" applyFill="1" applyBorder="1" applyAlignment="1">
      <alignment horizontal="center"/>
    </xf>
    <xf numFmtId="165" fontId="7" fillId="18" borderId="1" xfId="0" applyNumberFormat="1" applyFont="1" applyFill="1" applyBorder="1" applyAlignment="1" applyProtection="1">
      <alignment horizontal="center"/>
    </xf>
    <xf numFmtId="0" fontId="5" fillId="6" borderId="1" xfId="0" applyFont="1" applyFill="1" applyBorder="1" applyAlignment="1" applyProtection="1">
      <alignment horizontal="center"/>
      <protection locked="0"/>
    </xf>
    <xf numFmtId="37" fontId="17" fillId="4" borderId="0" xfId="0" applyNumberFormat="1" applyFont="1" applyFill="1" applyBorder="1" applyAlignment="1">
      <alignment horizontal="center"/>
    </xf>
    <xf numFmtId="2" fontId="17" fillId="4" borderId="0" xfId="0" applyNumberFormat="1" applyFont="1" applyFill="1" applyBorder="1" applyAlignment="1">
      <alignment horizontal="left"/>
    </xf>
    <xf numFmtId="0" fontId="82" fillId="4" borderId="0" xfId="0" applyFont="1" applyFill="1" applyAlignment="1">
      <alignment horizontal="center"/>
    </xf>
    <xf numFmtId="0" fontId="3" fillId="4" borderId="0" xfId="0" applyFont="1" applyFill="1" applyAlignment="1">
      <alignment horizontal="center"/>
    </xf>
    <xf numFmtId="0" fontId="7" fillId="4" borderId="0" xfId="0" applyFont="1" applyFill="1" applyAlignment="1">
      <alignment horizontal="right"/>
    </xf>
    <xf numFmtId="0" fontId="9" fillId="4" borderId="0" xfId="0" applyFont="1" applyFill="1" applyBorder="1" applyAlignment="1">
      <alignment horizontal="right" vertical="center"/>
    </xf>
    <xf numFmtId="0" fontId="51" fillId="4" borderId="0" xfId="0" applyFont="1" applyFill="1" applyAlignment="1">
      <alignment horizontal="centerContinuous"/>
    </xf>
    <xf numFmtId="165" fontId="17" fillId="18" borderId="4" xfId="0" applyNumberFormat="1" applyFont="1" applyFill="1" applyBorder="1" applyAlignment="1" applyProtection="1">
      <alignment horizontal="center"/>
    </xf>
    <xf numFmtId="165" fontId="17" fillId="18" borderId="4" xfId="0" applyNumberFormat="1" applyFont="1" applyFill="1" applyBorder="1" applyAlignment="1" applyProtection="1">
      <alignment horizontal="center" vertical="center"/>
    </xf>
    <xf numFmtId="37" fontId="38" fillId="0" borderId="0" xfId="0" applyNumberFormat="1" applyFont="1" applyFill="1" applyBorder="1" applyAlignment="1" applyProtection="1">
      <alignment horizontal="center" vertical="center"/>
    </xf>
    <xf numFmtId="37" fontId="14" fillId="18" borderId="4" xfId="0" applyNumberFormat="1" applyFont="1" applyFill="1" applyBorder="1" applyAlignment="1" applyProtection="1">
      <alignment horizontal="center" vertical="center"/>
    </xf>
    <xf numFmtId="37" fontId="14" fillId="4" borderId="0" xfId="0" applyNumberFormat="1" applyFont="1" applyFill="1" applyBorder="1" applyAlignment="1" applyProtection="1">
      <alignment horizontal="center" vertical="center"/>
    </xf>
    <xf numFmtId="165" fontId="11" fillId="18" borderId="4" xfId="0" applyNumberFormat="1" applyFont="1" applyFill="1" applyBorder="1" applyAlignment="1" applyProtection="1">
      <alignment horizontal="center" vertical="center"/>
    </xf>
    <xf numFmtId="39" fontId="11" fillId="18" borderId="4" xfId="0" applyNumberFormat="1" applyFont="1" applyFill="1" applyBorder="1" applyAlignment="1">
      <alignment horizontal="center" vertical="center"/>
    </xf>
    <xf numFmtId="39" fontId="14" fillId="18" borderId="4" xfId="0" applyNumberFormat="1" applyFont="1" applyFill="1" applyBorder="1" applyAlignment="1" applyProtection="1">
      <alignment horizontal="center" vertical="center"/>
    </xf>
    <xf numFmtId="37" fontId="11" fillId="18" borderId="4" xfId="0" applyNumberFormat="1" applyFont="1" applyFill="1" applyBorder="1" applyAlignment="1" applyProtection="1">
      <alignment horizontal="center" vertical="center"/>
    </xf>
    <xf numFmtId="164" fontId="7" fillId="18" borderId="4" xfId="0" applyNumberFormat="1" applyFont="1" applyFill="1" applyBorder="1" applyAlignment="1">
      <alignment horizontal="center"/>
    </xf>
    <xf numFmtId="0" fontId="9" fillId="18" borderId="1" xfId="0" applyFont="1" applyFill="1" applyBorder="1"/>
    <xf numFmtId="172" fontId="7" fillId="18" borderId="1" xfId="1" applyNumberFormat="1" applyFont="1" applyFill="1" applyBorder="1"/>
    <xf numFmtId="2" fontId="9" fillId="18" borderId="1" xfId="0" applyNumberFormat="1" applyFont="1" applyFill="1" applyBorder="1"/>
    <xf numFmtId="0" fontId="9" fillId="18" borderId="48" xfId="0" applyFont="1" applyFill="1" applyBorder="1"/>
    <xf numFmtId="172" fontId="7" fillId="18" borderId="4" xfId="1" applyNumberFormat="1" applyFont="1" applyFill="1" applyBorder="1"/>
    <xf numFmtId="1" fontId="7" fillId="18" borderId="0" xfId="0" applyNumberFormat="1" applyFont="1" applyFill="1" applyAlignment="1">
      <alignment horizontal="center"/>
    </xf>
    <xf numFmtId="2" fontId="9" fillId="18" borderId="0" xfId="0" applyNumberFormat="1" applyFont="1" applyFill="1" applyAlignment="1">
      <alignment horizontal="center"/>
    </xf>
    <xf numFmtId="1" fontId="7" fillId="18" borderId="1" xfId="0" applyNumberFormat="1" applyFont="1" applyFill="1" applyBorder="1" applyAlignment="1">
      <alignment horizontal="center"/>
    </xf>
    <xf numFmtId="2" fontId="9" fillId="18" borderId="1" xfId="0" applyNumberFormat="1" applyFont="1" applyFill="1" applyBorder="1" applyAlignment="1">
      <alignment horizontal="center"/>
    </xf>
    <xf numFmtId="164" fontId="9" fillId="18" borderId="1" xfId="0" applyNumberFormat="1" applyFont="1" applyFill="1" applyBorder="1" applyAlignment="1">
      <alignment horizontal="center" vertical="center"/>
    </xf>
    <xf numFmtId="2" fontId="24" fillId="18" borderId="4" xfId="0" applyNumberFormat="1" applyFont="1" applyFill="1" applyBorder="1" applyAlignment="1">
      <alignment horizontal="center"/>
    </xf>
    <xf numFmtId="2" fontId="7" fillId="5" borderId="4" xfId="0" applyNumberFormat="1" applyFont="1" applyFill="1" applyBorder="1" applyAlignment="1">
      <alignment horizontal="center"/>
    </xf>
    <xf numFmtId="172" fontId="11" fillId="18" borderId="4" xfId="1" applyNumberFormat="1" applyFont="1" applyFill="1" applyBorder="1" applyProtection="1">
      <protection hidden="1"/>
    </xf>
    <xf numFmtId="2" fontId="65" fillId="18" borderId="36" xfId="0" applyNumberFormat="1" applyFont="1" applyFill="1" applyBorder="1"/>
    <xf numFmtId="2" fontId="65" fillId="18" borderId="52" xfId="0" applyNumberFormat="1" applyFont="1" applyFill="1" applyBorder="1"/>
    <xf numFmtId="2" fontId="34" fillId="18" borderId="0" xfId="0" applyNumberFormat="1" applyFont="1" applyFill="1" applyBorder="1" applyAlignment="1" applyProtection="1">
      <alignment horizontal="right"/>
    </xf>
    <xf numFmtId="0" fontId="66" fillId="18" borderId="36" xfId="0" applyFont="1" applyFill="1" applyBorder="1" applyAlignment="1" applyProtection="1">
      <alignment horizontal="left"/>
      <protection hidden="1"/>
    </xf>
    <xf numFmtId="164" fontId="65" fillId="18" borderId="0" xfId="0" applyNumberFormat="1" applyFont="1" applyFill="1" applyBorder="1" applyAlignment="1" applyProtection="1">
      <alignment horizontal="right"/>
    </xf>
    <xf numFmtId="0" fontId="34" fillId="18" borderId="0" xfId="0" applyFont="1" applyFill="1" applyBorder="1" applyAlignment="1" applyProtection="1">
      <alignment horizontal="left"/>
    </xf>
    <xf numFmtId="172" fontId="11" fillId="18" borderId="1" xfId="1" applyNumberFormat="1" applyFont="1" applyFill="1" applyBorder="1" applyProtection="1">
      <protection hidden="1"/>
    </xf>
    <xf numFmtId="37" fontId="9" fillId="18" borderId="1" xfId="0" applyNumberFormat="1" applyFont="1" applyFill="1" applyBorder="1" applyAlignment="1">
      <alignment horizontal="center"/>
    </xf>
    <xf numFmtId="0" fontId="14" fillId="18" borderId="1" xfId="0" applyFont="1" applyFill="1" applyBorder="1" applyAlignment="1">
      <alignment horizontal="center"/>
    </xf>
    <xf numFmtId="37" fontId="9" fillId="18" borderId="1" xfId="0" applyNumberFormat="1" applyFont="1" applyFill="1" applyBorder="1" applyAlignment="1">
      <alignment horizontal="right"/>
    </xf>
    <xf numFmtId="165" fontId="24" fillId="18" borderId="4" xfId="0" applyNumberFormat="1" applyFont="1" applyFill="1" applyBorder="1" applyAlignment="1" applyProtection="1">
      <alignment horizontal="right"/>
      <protection hidden="1"/>
    </xf>
    <xf numFmtId="172" fontId="24" fillId="18" borderId="1" xfId="1" applyNumberFormat="1" applyFont="1" applyFill="1" applyBorder="1" applyAlignment="1" applyProtection="1">
      <alignment horizontal="center"/>
      <protection hidden="1"/>
    </xf>
    <xf numFmtId="0" fontId="9" fillId="0" borderId="1" xfId="0" applyFont="1" applyFill="1" applyBorder="1" applyAlignment="1">
      <alignment horizontal="center" vertical="center"/>
    </xf>
    <xf numFmtId="1" fontId="9" fillId="18" borderId="0" xfId="0" applyNumberFormat="1" applyFont="1" applyFill="1" applyAlignment="1">
      <alignment horizontal="center"/>
    </xf>
    <xf numFmtId="37" fontId="7" fillId="18" borderId="4" xfId="0" applyNumberFormat="1" applyFont="1" applyFill="1" applyBorder="1" applyAlignment="1" applyProtection="1">
      <alignment horizontal="center" vertical="center"/>
    </xf>
    <xf numFmtId="169" fontId="9" fillId="18" borderId="38" xfId="0" applyNumberFormat="1" applyFont="1" applyFill="1" applyBorder="1" applyAlignment="1">
      <alignment horizontal="center"/>
    </xf>
    <xf numFmtId="0" fontId="28" fillId="4" borderId="0" xfId="0" applyFont="1" applyFill="1" applyAlignment="1">
      <alignment horizontal="left"/>
    </xf>
    <xf numFmtId="0" fontId="48" fillId="2" borderId="55" xfId="0" applyFont="1" applyFill="1" applyBorder="1" applyAlignment="1">
      <alignment horizontal="center" wrapText="1"/>
    </xf>
    <xf numFmtId="0" fontId="1" fillId="0" borderId="9" xfId="0" applyFont="1" applyBorder="1" applyAlignment="1">
      <alignment horizontal="center" wrapText="1"/>
    </xf>
    <xf numFmtId="0" fontId="48" fillId="18" borderId="1" xfId="0" applyFont="1" applyFill="1" applyBorder="1" applyAlignment="1">
      <alignment horizontal="center" wrapText="1"/>
    </xf>
    <xf numFmtId="0" fontId="1" fillId="18" borderId="1" xfId="0" applyFont="1" applyFill="1" applyBorder="1" applyAlignment="1">
      <alignment horizontal="center" wrapText="1"/>
    </xf>
    <xf numFmtId="2" fontId="7" fillId="18" borderId="4" xfId="0" applyNumberFormat="1" applyFont="1" applyFill="1" applyBorder="1" applyAlignment="1" applyProtection="1">
      <alignment horizontal="center"/>
      <protection hidden="1"/>
    </xf>
    <xf numFmtId="0" fontId="7" fillId="18" borderId="4" xfId="0" applyFont="1" applyFill="1" applyBorder="1" applyAlignment="1" applyProtection="1">
      <alignment horizontal="center"/>
      <protection hidden="1"/>
    </xf>
    <xf numFmtId="0" fontId="9" fillId="4" borderId="0" xfId="0" applyFont="1" applyFill="1" applyBorder="1" applyAlignment="1" applyProtection="1">
      <alignment horizontal="left"/>
      <protection hidden="1"/>
    </xf>
    <xf numFmtId="0" fontId="28" fillId="4" borderId="0" xfId="0" applyFont="1" applyFill="1" applyAlignment="1" applyProtection="1">
      <protection hidden="1"/>
    </xf>
    <xf numFmtId="167" fontId="67" fillId="4" borderId="0" xfId="0" applyNumberFormat="1" applyFont="1" applyFill="1" applyProtection="1">
      <protection hidden="1"/>
    </xf>
    <xf numFmtId="0" fontId="0" fillId="18" borderId="0" xfId="0" applyFill="1"/>
    <xf numFmtId="172" fontId="10" fillId="5" borderId="4" xfId="1" applyNumberFormat="1" applyFont="1" applyFill="1" applyBorder="1" applyAlignment="1" applyProtection="1">
      <protection locked="0"/>
    </xf>
    <xf numFmtId="0" fontId="35" fillId="18" borderId="0" xfId="0" applyFont="1" applyFill="1" applyAlignment="1">
      <alignment horizontal="center"/>
    </xf>
    <xf numFmtId="0" fontId="56" fillId="0" borderId="0" xfId="0" applyFont="1"/>
    <xf numFmtId="0" fontId="1" fillId="4" borderId="0" xfId="0" applyFont="1" applyFill="1" applyAlignment="1"/>
    <xf numFmtId="172" fontId="9" fillId="7" borderId="4" xfId="1" applyNumberFormat="1" applyFont="1" applyFill="1" applyBorder="1"/>
    <xf numFmtId="172" fontId="9" fillId="9" borderId="4" xfId="1" applyNumberFormat="1" applyFont="1" applyFill="1" applyBorder="1"/>
    <xf numFmtId="172" fontId="9" fillId="9" borderId="4" xfId="1" applyNumberFormat="1" applyFont="1" applyFill="1" applyBorder="1" applyAlignment="1">
      <alignment horizontal="center"/>
    </xf>
    <xf numFmtId="172" fontId="9" fillId="5" borderId="4" xfId="1" applyNumberFormat="1" applyFont="1" applyFill="1" applyBorder="1"/>
    <xf numFmtId="0" fontId="0" fillId="0" borderId="1" xfId="0" applyBorder="1" applyProtection="1">
      <protection locked="0"/>
    </xf>
    <xf numFmtId="3" fontId="0" fillId="0" borderId="1" xfId="0" applyNumberFormat="1" applyBorder="1" applyProtection="1">
      <protection locked="0"/>
    </xf>
    <xf numFmtId="3" fontId="0" fillId="0" borderId="1" xfId="0" applyNumberFormat="1" applyFill="1" applyBorder="1" applyProtection="1">
      <protection locked="0"/>
    </xf>
    <xf numFmtId="0" fontId="83" fillId="0" borderId="0" xfId="0" applyFont="1"/>
    <xf numFmtId="0" fontId="83" fillId="4" borderId="0" xfId="0" applyFont="1" applyFill="1"/>
    <xf numFmtId="0" fontId="0" fillId="5" borderId="56" xfId="0" applyFill="1" applyBorder="1"/>
    <xf numFmtId="0" fontId="84" fillId="18" borderId="0" xfId="0" applyFont="1" applyFill="1"/>
    <xf numFmtId="0" fontId="0" fillId="4" borderId="17" xfId="0" applyFill="1" applyBorder="1"/>
    <xf numFmtId="0" fontId="84" fillId="4" borderId="0" xfId="0" applyFont="1" applyFill="1" applyAlignment="1"/>
    <xf numFmtId="0" fontId="35" fillId="4" borderId="0" xfId="0" applyFont="1" applyFill="1" applyAlignment="1"/>
    <xf numFmtId="0" fontId="9" fillId="4" borderId="17" xfId="0" applyFont="1" applyFill="1" applyBorder="1" applyAlignment="1">
      <alignment horizontal="right"/>
    </xf>
    <xf numFmtId="0" fontId="0" fillId="5" borderId="57" xfId="0" applyFill="1" applyBorder="1"/>
    <xf numFmtId="0" fontId="0" fillId="4" borderId="36" xfId="0" applyFill="1" applyBorder="1"/>
    <xf numFmtId="0" fontId="0" fillId="4" borderId="58" xfId="0" applyFill="1" applyBorder="1"/>
    <xf numFmtId="0" fontId="9" fillId="4" borderId="3" xfId="0" applyFont="1" applyFill="1" applyBorder="1" applyAlignment="1"/>
    <xf numFmtId="0" fontId="36" fillId="18" borderId="0" xfId="0" applyFont="1" applyFill="1" applyBorder="1" applyAlignment="1"/>
    <xf numFmtId="0" fontId="8" fillId="4" borderId="0" xfId="0" applyFont="1" applyFill="1" applyAlignment="1"/>
    <xf numFmtId="0" fontId="86" fillId="4" borderId="0" xfId="0" applyFont="1" applyFill="1" applyAlignment="1">
      <alignment horizontal="left"/>
    </xf>
    <xf numFmtId="0" fontId="87" fillId="4" borderId="0" xfId="0" applyFont="1" applyFill="1" applyAlignment="1">
      <alignment horizontal="left"/>
    </xf>
    <xf numFmtId="0" fontId="87" fillId="4" borderId="0" xfId="0" applyFont="1" applyFill="1" applyAlignment="1">
      <alignment horizontal="center"/>
    </xf>
    <xf numFmtId="0" fontId="0" fillId="4" borderId="21" xfId="0" applyFill="1" applyBorder="1"/>
    <xf numFmtId="0" fontId="5" fillId="4" borderId="0" xfId="3" applyFont="1" applyFill="1" applyAlignment="1" applyProtection="1">
      <alignment horizontal="center"/>
    </xf>
    <xf numFmtId="0" fontId="58" fillId="4" borderId="0" xfId="3" applyFont="1" applyFill="1" applyAlignment="1" applyProtection="1">
      <alignment horizontal="center"/>
    </xf>
    <xf numFmtId="0" fontId="0" fillId="0" borderId="0" xfId="0" applyAlignment="1"/>
    <xf numFmtId="0" fontId="0" fillId="0" borderId="0" xfId="0" applyBorder="1" applyAlignment="1"/>
    <xf numFmtId="0" fontId="90" fillId="4" borderId="0" xfId="0" applyFont="1" applyFill="1"/>
    <xf numFmtId="0" fontId="15" fillId="4" borderId="0" xfId="0" applyFont="1" applyFill="1" applyAlignment="1">
      <alignment vertical="top" wrapText="1"/>
    </xf>
    <xf numFmtId="0" fontId="92" fillId="4" borderId="0" xfId="0" applyFont="1" applyFill="1" applyAlignment="1">
      <alignment horizontal="right"/>
    </xf>
    <xf numFmtId="0" fontId="9" fillId="0" borderId="0" xfId="0" applyFont="1" applyFill="1" applyAlignment="1">
      <alignment horizontal="left"/>
    </xf>
    <xf numFmtId="0" fontId="93" fillId="4" borderId="0" xfId="0" applyFont="1" applyFill="1" applyAlignment="1">
      <alignment horizontal="left"/>
    </xf>
    <xf numFmtId="0" fontId="94" fillId="18" borderId="0" xfId="0" applyFont="1" applyFill="1"/>
    <xf numFmtId="164" fontId="88" fillId="18" borderId="0" xfId="0" applyNumberFormat="1" applyFont="1" applyFill="1" applyAlignment="1">
      <alignment horizontal="center"/>
    </xf>
    <xf numFmtId="0" fontId="95" fillId="4" borderId="0" xfId="0" applyFont="1" applyFill="1"/>
    <xf numFmtId="0" fontId="0" fillId="12" borderId="1" xfId="0" applyFill="1" applyBorder="1"/>
    <xf numFmtId="0" fontId="9" fillId="0" borderId="0" xfId="0" applyFont="1" applyFill="1" applyBorder="1" applyAlignment="1">
      <alignment horizontal="center"/>
    </xf>
    <xf numFmtId="164" fontId="0" fillId="12" borderId="0" xfId="0" applyNumberFormat="1" applyFill="1"/>
    <xf numFmtId="0" fontId="8" fillId="0" borderId="1" xfId="0" applyFont="1" applyBorder="1" applyAlignment="1">
      <alignment horizontal="right"/>
    </xf>
    <xf numFmtId="0" fontId="96" fillId="4" borderId="0" xfId="0" applyFont="1" applyFill="1" applyBorder="1" applyAlignment="1">
      <alignment horizontal="right"/>
    </xf>
    <xf numFmtId="0" fontId="19" fillId="0" borderId="1" xfId="0" applyFont="1" applyBorder="1" applyAlignment="1">
      <alignment horizontal="right"/>
    </xf>
    <xf numFmtId="0" fontId="57" fillId="4" borderId="0" xfId="0" applyFont="1" applyFill="1" applyAlignment="1">
      <alignment horizontal="center" vertical="top" wrapText="1"/>
    </xf>
    <xf numFmtId="0" fontId="11" fillId="4" borderId="0" xfId="0" applyFont="1" applyFill="1" applyAlignment="1">
      <alignment horizontal="right"/>
    </xf>
    <xf numFmtId="0" fontId="53" fillId="0" borderId="0" xfId="0" applyFont="1" applyBorder="1" applyAlignment="1"/>
    <xf numFmtId="0" fontId="9" fillId="0" borderId="0" xfId="0" applyFont="1" applyBorder="1" applyAlignment="1">
      <alignment horizontal="right"/>
    </xf>
    <xf numFmtId="176" fontId="0" fillId="0" borderId="0" xfId="0" applyNumberFormat="1" applyBorder="1" applyAlignment="1">
      <alignment horizontal="left"/>
    </xf>
    <xf numFmtId="0" fontId="0" fillId="0" borderId="0" xfId="0" applyBorder="1" applyAlignment="1">
      <alignment horizontal="left"/>
    </xf>
    <xf numFmtId="0" fontId="14" fillId="18" borderId="0" xfId="0" applyFont="1" applyFill="1" applyAlignment="1"/>
    <xf numFmtId="0" fontId="14" fillId="10" borderId="0" xfId="0" applyFont="1" applyFill="1" applyAlignment="1"/>
    <xf numFmtId="0" fontId="9" fillId="0" borderId="0" xfId="0" quotePrefix="1" applyFont="1" applyAlignment="1">
      <alignment horizontal="center"/>
    </xf>
    <xf numFmtId="0" fontId="44" fillId="4" borderId="0" xfId="0" applyFont="1" applyFill="1" applyBorder="1" applyAlignment="1">
      <alignment horizontal="center"/>
    </xf>
    <xf numFmtId="0" fontId="44" fillId="4" borderId="0" xfId="0" applyFont="1" applyFill="1" applyBorder="1"/>
    <xf numFmtId="0" fontId="56" fillId="4" borderId="0" xfId="0" applyFont="1" applyFill="1" applyProtection="1">
      <protection hidden="1"/>
    </xf>
    <xf numFmtId="0" fontId="0" fillId="6" borderId="4" xfId="0" applyFill="1" applyBorder="1" applyAlignment="1" applyProtection="1">
      <alignment horizontal="center"/>
      <protection locked="0"/>
    </xf>
    <xf numFmtId="0" fontId="1" fillId="6" borderId="4" xfId="0" applyFont="1" applyFill="1" applyBorder="1" applyAlignment="1" applyProtection="1">
      <alignment horizontal="center"/>
      <protection locked="0"/>
    </xf>
    <xf numFmtId="0" fontId="8" fillId="4" borderId="0" xfId="0" applyFont="1" applyFill="1" applyBorder="1" applyAlignment="1">
      <alignment horizontal="center"/>
    </xf>
    <xf numFmtId="14" fontId="0" fillId="4" borderId="0" xfId="0" applyNumberFormat="1" applyFill="1" applyBorder="1" applyAlignment="1">
      <alignment horizontal="center"/>
    </xf>
    <xf numFmtId="1" fontId="9" fillId="4" borderId="0" xfId="0" applyNumberFormat="1" applyFont="1" applyFill="1" applyBorder="1" applyAlignment="1">
      <alignment vertical="center"/>
    </xf>
    <xf numFmtId="1" fontId="9" fillId="4" borderId="0" xfId="0" applyNumberFormat="1" applyFont="1" applyFill="1" applyBorder="1" applyAlignment="1">
      <alignment horizontal="right" vertical="center"/>
    </xf>
    <xf numFmtId="0" fontId="9" fillId="6" borderId="4" xfId="0" applyFont="1" applyFill="1" applyBorder="1" applyAlignment="1" applyProtection="1">
      <alignment horizontal="center" vertical="center"/>
      <protection locked="0" hidden="1"/>
    </xf>
    <xf numFmtId="0" fontId="44" fillId="4" borderId="0" xfId="0" applyFont="1" applyFill="1" applyProtection="1">
      <protection hidden="1"/>
    </xf>
    <xf numFmtId="0" fontId="16" fillId="4" borderId="0" xfId="0" applyFont="1" applyFill="1" applyAlignment="1" applyProtection="1">
      <alignment horizontal="center"/>
      <protection hidden="1"/>
    </xf>
    <xf numFmtId="14" fontId="0" fillId="4" borderId="0" xfId="0" applyNumberFormat="1" applyFill="1"/>
    <xf numFmtId="0" fontId="0" fillId="18" borderId="0" xfId="0" applyFill="1" applyBorder="1" applyAlignment="1">
      <alignment horizontal="right"/>
    </xf>
    <xf numFmtId="0" fontId="9" fillId="18" borderId="0" xfId="0" applyFont="1" applyFill="1" applyBorder="1"/>
    <xf numFmtId="0" fontId="0" fillId="18" borderId="0" xfId="0" applyFill="1" applyBorder="1"/>
    <xf numFmtId="0" fontId="9" fillId="5" borderId="4" xfId="0" applyFont="1" applyFill="1" applyBorder="1" applyAlignment="1">
      <alignment horizontal="center"/>
    </xf>
    <xf numFmtId="0" fontId="0" fillId="4" borderId="0" xfId="0" applyFill="1" applyAlignment="1" applyProtection="1">
      <alignment horizontal="center" vertical="center"/>
      <protection hidden="1"/>
    </xf>
    <xf numFmtId="1" fontId="9" fillId="4" borderId="0" xfId="0" applyNumberFormat="1" applyFont="1" applyFill="1" applyAlignment="1">
      <alignment horizontal="center"/>
    </xf>
    <xf numFmtId="170" fontId="0" fillId="4" borderId="0" xfId="0" applyNumberFormat="1" applyFill="1"/>
    <xf numFmtId="1" fontId="0" fillId="4" borderId="0" xfId="0" applyNumberFormat="1" applyFill="1"/>
    <xf numFmtId="0" fontId="0" fillId="16" borderId="0" xfId="0" applyFill="1"/>
    <xf numFmtId="0" fontId="0" fillId="16" borderId="0" xfId="0" applyFill="1" applyBorder="1"/>
    <xf numFmtId="1" fontId="0" fillId="16" borderId="0" xfId="0" applyNumberFormat="1" applyFill="1" applyBorder="1"/>
    <xf numFmtId="14" fontId="0" fillId="16" borderId="0" xfId="0" applyNumberFormat="1" applyFill="1" applyBorder="1"/>
    <xf numFmtId="0" fontId="1" fillId="16" borderId="0" xfId="0" applyFont="1" applyFill="1" applyBorder="1" applyAlignment="1">
      <alignment horizontal="center"/>
    </xf>
    <xf numFmtId="0" fontId="43" fillId="16" borderId="0" xfId="0" applyFont="1" applyFill="1" applyAlignment="1">
      <alignment horizontal="right"/>
    </xf>
    <xf numFmtId="0" fontId="43" fillId="16" borderId="0" xfId="0" applyFont="1" applyFill="1" applyAlignment="1">
      <alignment horizontal="center"/>
    </xf>
    <xf numFmtId="0" fontId="67" fillId="16" borderId="0" xfId="0" applyFont="1" applyFill="1" applyAlignment="1">
      <alignment horizontal="center"/>
    </xf>
    <xf numFmtId="1" fontId="0" fillId="16" borderId="0" xfId="0" applyNumberFormat="1" applyFill="1"/>
    <xf numFmtId="0" fontId="0" fillId="16" borderId="0" xfId="0" quotePrefix="1" applyFill="1"/>
    <xf numFmtId="0" fontId="34" fillId="16" borderId="0" xfId="0" applyFont="1" applyFill="1" applyAlignment="1">
      <alignment horizontal="center"/>
    </xf>
    <xf numFmtId="0" fontId="34" fillId="16" borderId="0" xfId="0" quotePrefix="1" applyFont="1" applyFill="1" applyAlignment="1">
      <alignment horizontal="center"/>
    </xf>
    <xf numFmtId="0" fontId="56" fillId="16" borderId="0" xfId="0" applyFont="1" applyFill="1" applyBorder="1"/>
    <xf numFmtId="0" fontId="56" fillId="16" borderId="0" xfId="0" applyFont="1" applyFill="1" applyBorder="1" applyAlignment="1">
      <alignment horizontal="center"/>
    </xf>
    <xf numFmtId="44" fontId="44" fillId="16" borderId="0" xfId="2" applyFont="1" applyFill="1" applyBorder="1"/>
    <xf numFmtId="44" fontId="44" fillId="16" borderId="0" xfId="0" applyNumberFormat="1" applyFont="1" applyFill="1" applyBorder="1"/>
    <xf numFmtId="0" fontId="44" fillId="16" borderId="0" xfId="0" applyFont="1" applyFill="1"/>
    <xf numFmtId="0" fontId="9" fillId="16" borderId="0" xfId="0" applyFont="1" applyFill="1"/>
    <xf numFmtId="0" fontId="9" fillId="16" borderId="0" xfId="0" applyFont="1" applyFill="1" applyAlignment="1"/>
    <xf numFmtId="0" fontId="9" fillId="16" borderId="0" xfId="0" applyFont="1" applyFill="1" applyBorder="1" applyAlignment="1"/>
    <xf numFmtId="0" fontId="9" fillId="16" borderId="0" xfId="0" applyFont="1" applyFill="1" applyBorder="1" applyAlignment="1">
      <alignment horizontal="center"/>
    </xf>
    <xf numFmtId="0" fontId="42" fillId="4" borderId="0" xfId="0" applyFont="1" applyFill="1" applyBorder="1" applyAlignment="1" applyProtection="1">
      <alignment horizontal="center"/>
    </xf>
    <xf numFmtId="0" fontId="0" fillId="4" borderId="0" xfId="0" applyFill="1" applyBorder="1" applyAlignment="1" applyProtection="1">
      <alignment horizontal="center"/>
    </xf>
    <xf numFmtId="0" fontId="34" fillId="0" borderId="0" xfId="0" applyFont="1"/>
    <xf numFmtId="0" fontId="0" fillId="4" borderId="0" xfId="0" applyFill="1" applyBorder="1" applyAlignment="1" applyProtection="1"/>
    <xf numFmtId="166" fontId="0" fillId="4" borderId="0" xfId="0" applyNumberFormat="1" applyFill="1" applyAlignment="1" applyProtection="1">
      <alignment horizontal="center"/>
      <protection hidden="1"/>
    </xf>
    <xf numFmtId="0" fontId="0" fillId="4" borderId="0" xfId="0" applyFill="1" applyAlignment="1" applyProtection="1">
      <alignment horizontal="left"/>
      <protection locked="0" hidden="1"/>
    </xf>
    <xf numFmtId="0" fontId="10" fillId="4" borderId="0" xfId="0" applyFont="1" applyFill="1" applyBorder="1" applyAlignment="1" applyProtection="1">
      <alignment horizontal="center"/>
    </xf>
    <xf numFmtId="0" fontId="6" fillId="4" borderId="0" xfId="0" applyFont="1" applyFill="1" applyAlignment="1" applyProtection="1">
      <alignment horizontal="center"/>
    </xf>
    <xf numFmtId="0" fontId="22" fillId="4" borderId="0" xfId="0" applyFont="1" applyFill="1" applyAlignment="1">
      <alignment horizontal="left" vertical="top" wrapText="1"/>
    </xf>
    <xf numFmtId="0" fontId="1" fillId="4" borderId="0" xfId="0" applyFont="1" applyFill="1" applyAlignment="1">
      <alignment horizontal="center"/>
    </xf>
    <xf numFmtId="0" fontId="9" fillId="6" borderId="7" xfId="0" applyFont="1" applyFill="1" applyBorder="1" applyAlignment="1" applyProtection="1">
      <alignment horizontal="center"/>
      <protection locked="0"/>
    </xf>
    <xf numFmtId="0" fontId="5" fillId="4" borderId="0" xfId="0" applyFont="1" applyFill="1" applyBorder="1" applyAlignment="1" applyProtection="1">
      <alignment horizontal="right"/>
    </xf>
    <xf numFmtId="0" fontId="21" fillId="4" borderId="0" xfId="0" applyFont="1" applyFill="1" applyBorder="1" applyAlignment="1" applyProtection="1">
      <alignment horizontal="right"/>
    </xf>
    <xf numFmtId="2" fontId="5" fillId="4" borderId="0" xfId="0" applyNumberFormat="1" applyFont="1" applyFill="1" applyBorder="1" applyAlignment="1" applyProtection="1">
      <alignment horizontal="center"/>
    </xf>
    <xf numFmtId="1" fontId="9" fillId="18" borderId="0" xfId="0" applyNumberFormat="1" applyFont="1" applyFill="1" applyBorder="1" applyAlignment="1">
      <alignment horizontal="center"/>
    </xf>
    <xf numFmtId="0" fontId="6" fillId="0" borderId="1" xfId="0" applyFont="1" applyBorder="1" applyAlignment="1">
      <alignment horizontal="right" vertical="center"/>
    </xf>
    <xf numFmtId="2" fontId="9" fillId="6" borderId="1" xfId="0" applyNumberFormat="1" applyFont="1" applyFill="1" applyBorder="1" applyAlignment="1" applyProtection="1">
      <alignment horizontal="center"/>
      <protection locked="0"/>
    </xf>
    <xf numFmtId="37" fontId="7" fillId="6" borderId="4" xfId="0" applyNumberFormat="1" applyFont="1" applyFill="1" applyBorder="1" applyAlignment="1" applyProtection="1">
      <alignment horizontal="center" vertical="center"/>
      <protection locked="0"/>
    </xf>
    <xf numFmtId="0" fontId="0" fillId="4" borderId="0" xfId="0" applyFill="1" applyAlignment="1" applyProtection="1">
      <alignment horizontal="center"/>
      <protection locked="0"/>
    </xf>
    <xf numFmtId="0" fontId="9" fillId="4" borderId="0" xfId="0" applyFont="1" applyFill="1" applyBorder="1" applyAlignment="1" applyProtection="1">
      <alignment horizontal="center"/>
    </xf>
    <xf numFmtId="0" fontId="15" fillId="4" borderId="0" xfId="0" applyFont="1" applyFill="1" applyBorder="1" applyAlignment="1">
      <alignment wrapText="1"/>
    </xf>
    <xf numFmtId="0" fontId="15" fillId="4" borderId="0" xfId="0" applyFont="1" applyFill="1" applyBorder="1" applyAlignment="1"/>
    <xf numFmtId="37" fontId="10" fillId="4" borderId="0" xfId="0" applyNumberFormat="1" applyFont="1" applyFill="1" applyBorder="1" applyAlignment="1" applyProtection="1">
      <alignment horizontal="center"/>
    </xf>
    <xf numFmtId="168" fontId="10" fillId="4" borderId="0" xfId="0" applyNumberFormat="1" applyFont="1" applyFill="1" applyBorder="1" applyAlignment="1" applyProtection="1">
      <alignment horizontal="right"/>
    </xf>
    <xf numFmtId="0" fontId="88" fillId="4" borderId="0" xfId="0" applyFont="1" applyFill="1" applyAlignment="1"/>
    <xf numFmtId="0" fontId="56" fillId="4" borderId="0" xfId="0" applyFont="1" applyFill="1" applyBorder="1" applyAlignment="1" applyProtection="1">
      <alignment horizontal="center"/>
      <protection locked="0"/>
    </xf>
    <xf numFmtId="0" fontId="43" fillId="4" borderId="0" xfId="0" applyFont="1" applyFill="1" applyBorder="1" applyAlignment="1" applyProtection="1">
      <alignment horizontal="center"/>
      <protection locked="0"/>
    </xf>
    <xf numFmtId="0" fontId="13" fillId="4" borderId="0" xfId="3" applyFill="1" applyAlignment="1" applyProtection="1">
      <alignment horizontal="center"/>
      <protection locked="0"/>
    </xf>
    <xf numFmtId="0" fontId="13" fillId="4" borderId="0" xfId="3" applyFill="1" applyAlignment="1" applyProtection="1">
      <protection locked="0"/>
    </xf>
    <xf numFmtId="0" fontId="13" fillId="4" borderId="0" xfId="3" applyFill="1" applyAlignment="1" applyProtection="1">
      <alignment horizontal="right" vertical="center"/>
      <protection locked="0"/>
    </xf>
    <xf numFmtId="0" fontId="13" fillId="4" borderId="0" xfId="3" applyFill="1" applyAlignment="1" applyProtection="1">
      <alignment horizontal="right" vertical="center" wrapText="1"/>
      <protection locked="0"/>
    </xf>
    <xf numFmtId="0" fontId="13" fillId="4" borderId="0" xfId="3" applyFill="1" applyAlignment="1" applyProtection="1">
      <alignment horizontal="center" vertical="center" wrapText="1"/>
      <protection locked="0"/>
    </xf>
    <xf numFmtId="0" fontId="13" fillId="4" borderId="17" xfId="3" applyFill="1" applyBorder="1" applyAlignment="1" applyProtection="1">
      <protection locked="0"/>
    </xf>
    <xf numFmtId="0" fontId="13" fillId="4" borderId="17" xfId="3" applyFill="1" applyBorder="1" applyAlignment="1" applyProtection="1">
      <alignment horizontal="right" vertical="center" wrapText="1"/>
      <protection locked="0"/>
    </xf>
    <xf numFmtId="0" fontId="0" fillId="4" borderId="17" xfId="0" applyFill="1" applyBorder="1" applyProtection="1">
      <protection locked="0"/>
    </xf>
    <xf numFmtId="0" fontId="21" fillId="0" borderId="0" xfId="0" applyFont="1"/>
    <xf numFmtId="0" fontId="0" fillId="4" borderId="1" xfId="0" quotePrefix="1" applyFill="1" applyBorder="1" applyAlignment="1" applyProtection="1">
      <alignment horizontal="center"/>
      <protection locked="0"/>
    </xf>
    <xf numFmtId="0" fontId="0" fillId="10" borderId="0" xfId="0" applyFill="1" applyProtection="1">
      <protection locked="0"/>
    </xf>
    <xf numFmtId="14" fontId="8" fillId="4" borderId="0" xfId="0" applyNumberFormat="1" applyFont="1" applyFill="1" applyAlignment="1">
      <alignment horizontal="center"/>
    </xf>
    <xf numFmtId="0" fontId="56" fillId="4" borderId="0" xfId="0" applyFont="1" applyFill="1" applyAlignment="1" applyProtection="1">
      <alignment horizontal="center"/>
      <protection locked="0"/>
    </xf>
    <xf numFmtId="14" fontId="0" fillId="6" borderId="4" xfId="0" applyNumberFormat="1" applyFill="1" applyBorder="1" applyAlignment="1" applyProtection="1">
      <alignment horizontal="center"/>
      <protection locked="0" hidden="1"/>
    </xf>
    <xf numFmtId="0" fontId="0" fillId="4" borderId="1" xfId="0" applyFill="1" applyBorder="1" applyAlignment="1" applyProtection="1">
      <alignment horizontal="center"/>
      <protection locked="0"/>
    </xf>
    <xf numFmtId="0" fontId="42" fillId="4" borderId="1" xfId="0" applyFont="1" applyFill="1" applyBorder="1" applyProtection="1">
      <protection locked="0"/>
    </xf>
    <xf numFmtId="0" fontId="42" fillId="4" borderId="1" xfId="0" applyFont="1" applyFill="1" applyBorder="1" applyAlignment="1" applyProtection="1">
      <alignment horizontal="left"/>
      <protection locked="0"/>
    </xf>
    <xf numFmtId="0" fontId="42" fillId="4" borderId="1" xfId="0" applyFont="1" applyFill="1" applyBorder="1" applyAlignment="1" applyProtection="1">
      <alignment wrapText="1"/>
      <protection locked="0"/>
    </xf>
    <xf numFmtId="0" fontId="0" fillId="4" borderId="1" xfId="0" applyFill="1" applyBorder="1" applyAlignment="1" applyProtection="1">
      <alignment horizontal="center" vertical="center"/>
      <protection locked="0"/>
    </xf>
    <xf numFmtId="0" fontId="42" fillId="4" borderId="16" xfId="0" applyFont="1" applyFill="1" applyBorder="1" applyAlignment="1" applyProtection="1">
      <alignment wrapText="1"/>
      <protection locked="0"/>
    </xf>
    <xf numFmtId="0" fontId="42" fillId="4" borderId="1" xfId="0" applyFont="1" applyFill="1" applyBorder="1" applyAlignment="1" applyProtection="1">
      <alignment vertical="top" wrapText="1"/>
      <protection locked="0"/>
    </xf>
    <xf numFmtId="0" fontId="17" fillId="0" borderId="0" xfId="0" applyFont="1" applyFill="1" applyAlignment="1">
      <alignment horizontal="center"/>
    </xf>
    <xf numFmtId="0" fontId="13" fillId="4" borderId="0" xfId="3" applyFill="1" applyBorder="1" applyAlignment="1" applyProtection="1">
      <protection locked="0"/>
    </xf>
    <xf numFmtId="0" fontId="15" fillId="4" borderId="0" xfId="0" applyFont="1" applyFill="1" applyAlignment="1" applyProtection="1">
      <alignment horizontal="center"/>
    </xf>
    <xf numFmtId="0" fontId="0" fillId="4" borderId="0" xfId="0" applyFill="1" applyBorder="1" applyAlignment="1">
      <alignment vertical="top"/>
    </xf>
    <xf numFmtId="0" fontId="1" fillId="4" borderId="0" xfId="0" applyFont="1" applyFill="1" applyBorder="1" applyAlignment="1" applyProtection="1">
      <protection locked="0"/>
    </xf>
    <xf numFmtId="0" fontId="1" fillId="4" borderId="0" xfId="0" applyFont="1" applyFill="1" applyBorder="1" applyAlignment="1" applyProtection="1"/>
    <xf numFmtId="0" fontId="13" fillId="4" borderId="0" xfId="3" applyFont="1" applyFill="1" applyAlignment="1" applyProtection="1">
      <alignment horizontal="center" vertical="center" wrapText="1"/>
      <protection locked="0"/>
    </xf>
    <xf numFmtId="0" fontId="15" fillId="4" borderId="0" xfId="0" applyFont="1" applyFill="1" applyAlignment="1" applyProtection="1">
      <alignment vertical="top" wrapText="1"/>
      <protection locked="0"/>
    </xf>
    <xf numFmtId="0" fontId="13" fillId="4" borderId="0" xfId="3" applyFont="1" applyFill="1" applyAlignment="1" applyProtection="1">
      <alignment horizontal="center"/>
      <protection locked="0"/>
    </xf>
    <xf numFmtId="0" fontId="70" fillId="4" borderId="0" xfId="0" applyFont="1" applyFill="1" applyAlignment="1">
      <alignment horizontal="center"/>
    </xf>
    <xf numFmtId="0" fontId="100" fillId="16" borderId="0" xfId="0" applyFont="1" applyFill="1" applyAlignment="1">
      <alignment horizontal="center"/>
    </xf>
    <xf numFmtId="0" fontId="56" fillId="16" borderId="0" xfId="0" applyFont="1" applyFill="1" applyAlignment="1">
      <alignment horizontal="right"/>
    </xf>
    <xf numFmtId="0" fontId="101" fillId="0" borderId="0" xfId="0" applyFont="1" applyProtection="1">
      <protection hidden="1"/>
    </xf>
    <xf numFmtId="0" fontId="35" fillId="4" borderId="0" xfId="0" quotePrefix="1" applyFont="1" applyFill="1" applyAlignment="1">
      <alignment horizontal="center"/>
    </xf>
    <xf numFmtId="0" fontId="56" fillId="0" borderId="0" xfId="0" applyFont="1" applyAlignment="1" applyProtection="1">
      <alignment horizontal="center"/>
      <protection hidden="1"/>
    </xf>
    <xf numFmtId="0" fontId="102" fillId="0" borderId="0" xfId="0" applyFont="1" applyBorder="1" applyAlignment="1"/>
    <xf numFmtId="0" fontId="42" fillId="0" borderId="1" xfId="0" applyFont="1" applyBorder="1" applyProtection="1">
      <protection locked="0"/>
    </xf>
    <xf numFmtId="0" fontId="0" fillId="0" borderId="1" xfId="0" applyBorder="1" applyAlignment="1" applyProtection="1">
      <alignment horizontal="center"/>
      <protection locked="0"/>
    </xf>
    <xf numFmtId="0" fontId="42" fillId="0" borderId="1" xfId="0" applyFont="1" applyBorder="1" applyAlignment="1" applyProtection="1">
      <alignment vertical="top" wrapText="1"/>
      <protection locked="0"/>
    </xf>
    <xf numFmtId="0" fontId="28" fillId="4" borderId="0" xfId="0" applyFont="1" applyFill="1" applyAlignment="1" applyProtection="1">
      <alignment horizontal="center"/>
      <protection hidden="1"/>
    </xf>
    <xf numFmtId="172" fontId="7" fillId="6" borderId="4" xfId="1" applyNumberFormat="1" applyFont="1" applyFill="1" applyBorder="1" applyProtection="1">
      <protection locked="0"/>
    </xf>
    <xf numFmtId="49" fontId="103" fillId="0" borderId="0" xfId="0" applyNumberFormat="1" applyFont="1" applyBorder="1" applyAlignment="1">
      <alignment horizontal="left"/>
    </xf>
    <xf numFmtId="177" fontId="42" fillId="6" borderId="4" xfId="0" applyNumberFormat="1" applyFont="1" applyFill="1" applyBorder="1" applyAlignment="1" applyProtection="1">
      <alignment horizontal="center"/>
      <protection locked="0"/>
    </xf>
    <xf numFmtId="0" fontId="27" fillId="4" borderId="0" xfId="0" applyFont="1" applyFill="1" applyAlignment="1">
      <alignment horizontal="left"/>
    </xf>
    <xf numFmtId="3" fontId="0" fillId="4" borderId="0" xfId="0" applyNumberFormat="1" applyFill="1"/>
    <xf numFmtId="0" fontId="42" fillId="4" borderId="0" xfId="0" applyFont="1" applyFill="1" applyBorder="1" applyAlignment="1"/>
    <xf numFmtId="0" fontId="42" fillId="4" borderId="0" xfId="0" applyFont="1" applyFill="1"/>
    <xf numFmtId="0" fontId="42" fillId="4" borderId="0" xfId="0" applyFont="1" applyFill="1" applyBorder="1" applyAlignment="1">
      <alignment vertical="top" wrapText="1"/>
    </xf>
    <xf numFmtId="164" fontId="9" fillId="18" borderId="0" xfId="0" applyNumberFormat="1" applyFont="1" applyFill="1" applyAlignment="1">
      <alignment horizontal="center"/>
    </xf>
    <xf numFmtId="0" fontId="9" fillId="4" borderId="0" xfId="0" applyFont="1" applyFill="1" applyBorder="1" applyAlignment="1">
      <alignment horizontal="center" vertical="center"/>
    </xf>
    <xf numFmtId="2" fontId="104" fillId="5" borderId="0" xfId="0" applyNumberFormat="1" applyFont="1" applyFill="1"/>
    <xf numFmtId="0" fontId="33" fillId="4" borderId="0" xfId="0" applyFont="1" applyFill="1" applyBorder="1" applyAlignment="1">
      <alignment horizontal="left" vertical="center"/>
    </xf>
    <xf numFmtId="0" fontId="25" fillId="4" borderId="0" xfId="0" applyFont="1" applyFill="1" applyBorder="1" applyProtection="1"/>
    <xf numFmtId="0" fontId="25" fillId="4" borderId="0" xfId="0" applyFont="1" applyFill="1" applyBorder="1" applyAlignment="1"/>
    <xf numFmtId="0" fontId="105" fillId="4" borderId="0" xfId="0" applyFont="1" applyFill="1" applyBorder="1" applyAlignment="1">
      <alignment horizontal="left" vertical="center"/>
    </xf>
    <xf numFmtId="0" fontId="25" fillId="4" borderId="0" xfId="0" applyFont="1" applyFill="1" applyBorder="1"/>
    <xf numFmtId="0" fontId="25" fillId="4" borderId="0" xfId="0" applyFont="1" applyFill="1"/>
    <xf numFmtId="0" fontId="25" fillId="4" borderId="0" xfId="0" applyFont="1" applyFill="1" applyBorder="1" applyAlignment="1">
      <alignment vertical="top" wrapText="1"/>
    </xf>
    <xf numFmtId="0" fontId="32" fillId="5" borderId="0" xfId="0" applyFont="1" applyFill="1" applyBorder="1" applyAlignment="1" applyProtection="1">
      <alignment vertical="top" wrapText="1"/>
      <protection locked="0" hidden="1"/>
    </xf>
    <xf numFmtId="37" fontId="9" fillId="18" borderId="0" xfId="0" applyNumberFormat="1" applyFont="1" applyFill="1" applyBorder="1" applyAlignment="1" applyProtection="1">
      <alignment horizontal="center" vertical="center"/>
    </xf>
    <xf numFmtId="0" fontId="46" fillId="4" borderId="0" xfId="0" applyFont="1" applyFill="1"/>
    <xf numFmtId="165" fontId="11" fillId="4" borderId="0" xfId="0" applyNumberFormat="1" applyFont="1" applyFill="1" applyBorder="1" applyAlignment="1" applyProtection="1">
      <alignment horizontal="center" vertical="center"/>
    </xf>
    <xf numFmtId="0" fontId="66" fillId="4" borderId="0" xfId="0" applyFont="1" applyFill="1" applyBorder="1" applyAlignment="1">
      <alignment horizontal="center"/>
    </xf>
    <xf numFmtId="39" fontId="11" fillId="4" borderId="0" xfId="0" applyNumberFormat="1" applyFont="1" applyFill="1" applyBorder="1" applyAlignment="1">
      <alignment horizontal="center" vertical="center"/>
    </xf>
    <xf numFmtId="43" fontId="42" fillId="4" borderId="0" xfId="1" applyFont="1" applyFill="1" applyBorder="1" applyAlignment="1" applyProtection="1">
      <alignment horizontal="center"/>
    </xf>
    <xf numFmtId="0" fontId="19" fillId="4" borderId="0" xfId="3" applyFont="1" applyFill="1" applyBorder="1" applyAlignment="1" applyProtection="1">
      <alignment horizontal="right" vertical="center"/>
    </xf>
    <xf numFmtId="172" fontId="42" fillId="4" borderId="0" xfId="1" applyNumberFormat="1" applyFont="1" applyFill="1" applyBorder="1" applyAlignment="1" applyProtection="1">
      <alignment horizontal="center"/>
    </xf>
    <xf numFmtId="0" fontId="67" fillId="4" borderId="0" xfId="0" applyFont="1" applyFill="1" applyAlignment="1" applyProtection="1">
      <alignment horizontal="right"/>
      <protection hidden="1"/>
    </xf>
    <xf numFmtId="0" fontId="67" fillId="4" borderId="0" xfId="3" applyFont="1" applyFill="1" applyBorder="1" applyAlignment="1" applyProtection="1">
      <alignment horizontal="right" vertical="center"/>
      <protection hidden="1"/>
    </xf>
    <xf numFmtId="2" fontId="67" fillId="4" borderId="0" xfId="0" applyNumberFormat="1" applyFont="1" applyFill="1" applyBorder="1" applyProtection="1">
      <protection hidden="1"/>
    </xf>
    <xf numFmtId="0" fontId="46" fillId="4" borderId="0" xfId="0" applyFont="1" applyFill="1" applyProtection="1">
      <protection hidden="1"/>
    </xf>
    <xf numFmtId="0" fontId="67" fillId="4" borderId="0" xfId="0" applyFont="1" applyFill="1" applyProtection="1">
      <protection hidden="1"/>
    </xf>
    <xf numFmtId="0" fontId="67" fillId="4" borderId="0" xfId="0" applyFont="1" applyFill="1" applyBorder="1" applyAlignment="1" applyProtection="1">
      <alignment horizontal="right"/>
      <protection hidden="1"/>
    </xf>
    <xf numFmtId="0" fontId="67" fillId="4" borderId="0" xfId="0" applyFont="1" applyFill="1" applyBorder="1" applyProtection="1">
      <protection hidden="1"/>
    </xf>
    <xf numFmtId="172" fontId="0" fillId="4" borderId="0" xfId="1" applyNumberFormat="1" applyFont="1" applyFill="1" applyBorder="1"/>
    <xf numFmtId="172" fontId="0" fillId="4" borderId="0" xfId="0" applyNumberFormat="1" applyFill="1" applyBorder="1"/>
    <xf numFmtId="0" fontId="48" fillId="9" borderId="0" xfId="0" applyFont="1" applyFill="1" applyBorder="1" applyAlignment="1">
      <alignment horizontal="center" wrapText="1"/>
    </xf>
    <xf numFmtId="0" fontId="9" fillId="0" borderId="0" xfId="0" applyFont="1" applyFill="1" applyAlignment="1">
      <alignment horizontal="center"/>
    </xf>
    <xf numFmtId="172" fontId="56" fillId="4" borderId="0" xfId="1" applyNumberFormat="1" applyFont="1" applyFill="1" applyBorder="1" applyProtection="1">
      <protection hidden="1"/>
    </xf>
    <xf numFmtId="172" fontId="56" fillId="4" borderId="0" xfId="0" applyNumberFormat="1" applyFont="1" applyFill="1" applyBorder="1" applyAlignment="1" applyProtection="1">
      <alignment horizontal="right"/>
      <protection hidden="1"/>
    </xf>
    <xf numFmtId="172" fontId="56" fillId="4" borderId="0" xfId="0" applyNumberFormat="1" applyFont="1" applyFill="1" applyBorder="1" applyProtection="1">
      <protection hidden="1"/>
    </xf>
    <xf numFmtId="0" fontId="106" fillId="4" borderId="0" xfId="0" applyFont="1" applyFill="1" applyAlignment="1">
      <alignment horizontal="right"/>
    </xf>
    <xf numFmtId="0" fontId="88" fillId="4" borderId="0" xfId="0" applyFont="1" applyFill="1" applyAlignment="1">
      <alignment horizontal="right"/>
    </xf>
    <xf numFmtId="164" fontId="14" fillId="18" borderId="0" xfId="0" applyNumberFormat="1" applyFont="1" applyFill="1" applyAlignment="1">
      <alignment horizontal="center"/>
    </xf>
    <xf numFmtId="1" fontId="9" fillId="4" borderId="0" xfId="0" applyNumberFormat="1" applyFont="1" applyFill="1" applyAlignment="1">
      <alignment horizontal="left"/>
    </xf>
    <xf numFmtId="0" fontId="0" fillId="0" borderId="0" xfId="0" applyBorder="1" applyAlignment="1" applyProtection="1">
      <alignment horizontal="left"/>
      <protection locked="0"/>
    </xf>
    <xf numFmtId="0" fontId="1" fillId="4" borderId="0" xfId="0" applyFont="1" applyFill="1" applyProtection="1">
      <protection locked="0"/>
    </xf>
    <xf numFmtId="164" fontId="10" fillId="4" borderId="0" xfId="0" applyNumberFormat="1" applyFont="1" applyFill="1"/>
    <xf numFmtId="164" fontId="11" fillId="4" borderId="0" xfId="0" applyNumberFormat="1" applyFont="1" applyFill="1" applyAlignment="1">
      <alignment horizontal="right"/>
    </xf>
    <xf numFmtId="0" fontId="9" fillId="19" borderId="59" xfId="0" applyFont="1" applyFill="1" applyBorder="1" applyAlignment="1"/>
    <xf numFmtId="0" fontId="0" fillId="9" borderId="15" xfId="0" applyFill="1" applyBorder="1" applyAlignment="1"/>
    <xf numFmtId="0" fontId="0" fillId="9" borderId="52" xfId="0" applyFill="1" applyBorder="1" applyAlignment="1"/>
    <xf numFmtId="0" fontId="0" fillId="9" borderId="55" xfId="0" applyFill="1" applyBorder="1" applyAlignment="1"/>
    <xf numFmtId="172" fontId="10" fillId="5" borderId="4" xfId="1" applyNumberFormat="1" applyFont="1" applyFill="1" applyBorder="1" applyAlignment="1" applyProtection="1">
      <alignment horizontal="center"/>
    </xf>
    <xf numFmtId="43" fontId="42" fillId="4" borderId="1" xfId="1" applyFont="1" applyFill="1" applyBorder="1" applyAlignment="1" applyProtection="1">
      <alignment horizontal="center"/>
    </xf>
    <xf numFmtId="0" fontId="9" fillId="6" borderId="1" xfId="0" applyFont="1" applyFill="1" applyBorder="1" applyAlignment="1">
      <alignment horizontal="center"/>
    </xf>
    <xf numFmtId="14" fontId="0" fillId="4" borderId="1" xfId="0" applyNumberFormat="1" applyFill="1" applyBorder="1" applyAlignment="1">
      <alignment horizontal="center"/>
    </xf>
    <xf numFmtId="0" fontId="0" fillId="4" borderId="1" xfId="0" quotePrefix="1" applyFill="1" applyBorder="1" applyAlignment="1">
      <alignment horizontal="center"/>
    </xf>
    <xf numFmtId="0" fontId="39" fillId="0" borderId="0" xfId="3" applyFont="1" applyFill="1" applyBorder="1" applyAlignment="1" applyProtection="1">
      <alignment horizontal="right"/>
      <protection locked="0"/>
    </xf>
    <xf numFmtId="0" fontId="13" fillId="0" borderId="0" xfId="3" applyBorder="1" applyAlignment="1" applyProtection="1">
      <alignment horizontal="right"/>
      <protection locked="0"/>
    </xf>
    <xf numFmtId="0" fontId="9" fillId="0" borderId="0" xfId="0" applyFont="1" applyBorder="1" applyAlignment="1" applyProtection="1">
      <alignment horizontal="right"/>
      <protection locked="0"/>
    </xf>
    <xf numFmtId="172" fontId="11" fillId="18" borderId="39" xfId="1" applyNumberFormat="1" applyFont="1" applyFill="1" applyBorder="1" applyAlignment="1" applyProtection="1">
      <alignment horizontal="center"/>
      <protection hidden="1"/>
    </xf>
    <xf numFmtId="0" fontId="34" fillId="18" borderId="60" xfId="0" applyFont="1" applyFill="1" applyBorder="1"/>
    <xf numFmtId="172" fontId="9" fillId="4" borderId="38" xfId="1" applyNumberFormat="1" applyFont="1" applyFill="1" applyBorder="1" applyAlignment="1" applyProtection="1">
      <alignment horizontal="center"/>
      <protection hidden="1"/>
    </xf>
    <xf numFmtId="0" fontId="87" fillId="4" borderId="28" xfId="0" applyFont="1" applyFill="1" applyBorder="1" applyAlignment="1">
      <alignment horizontal="center"/>
    </xf>
    <xf numFmtId="0" fontId="7" fillId="5" borderId="0" xfId="0" applyFont="1" applyFill="1"/>
    <xf numFmtId="0" fontId="11" fillId="18" borderId="1" xfId="0" applyFont="1" applyFill="1" applyBorder="1" applyAlignment="1" applyProtection="1">
      <alignment horizontal="center"/>
      <protection hidden="1"/>
    </xf>
    <xf numFmtId="0" fontId="86" fillId="4" borderId="0" xfId="0" applyFont="1" applyFill="1" applyBorder="1" applyAlignment="1">
      <alignment horizontal="left"/>
    </xf>
    <xf numFmtId="0" fontId="13" fillId="4" borderId="0" xfId="3" applyFill="1" applyAlignment="1" applyProtection="1">
      <alignment horizontal="center"/>
      <protection locked="0"/>
    </xf>
    <xf numFmtId="0" fontId="86" fillId="4" borderId="0" xfId="0" applyFont="1" applyFill="1" applyAlignment="1">
      <alignment horizontal="left"/>
    </xf>
    <xf numFmtId="0" fontId="98" fillId="4" borderId="0" xfId="0" applyFont="1" applyFill="1" applyBorder="1" applyAlignment="1">
      <alignment horizontal="left" vertical="center"/>
    </xf>
    <xf numFmtId="0" fontId="99" fillId="4" borderId="0" xfId="0" quotePrefix="1" applyFont="1" applyFill="1" applyBorder="1" applyAlignment="1">
      <alignment horizontal="left" vertical="center"/>
    </xf>
    <xf numFmtId="176" fontId="98" fillId="4" borderId="0" xfId="0" applyNumberFormat="1" applyFont="1" applyFill="1" applyBorder="1" applyAlignment="1">
      <alignment horizontal="left" vertical="center"/>
    </xf>
    <xf numFmtId="0" fontId="9" fillId="4" borderId="0" xfId="0" applyFont="1" applyFill="1" applyAlignment="1">
      <alignment horizontal="right"/>
    </xf>
    <xf numFmtId="0" fontId="9" fillId="4" borderId="0" xfId="0" applyFont="1" applyFill="1" applyBorder="1" applyAlignment="1">
      <alignment horizontal="center"/>
    </xf>
    <xf numFmtId="0" fontId="13" fillId="4" borderId="0" xfId="3" applyFill="1" applyBorder="1" applyAlignment="1" applyProtection="1">
      <alignment horizontal="center" vertical="center"/>
      <protection locked="0"/>
    </xf>
    <xf numFmtId="0" fontId="27" fillId="0" borderId="0" xfId="0" applyFont="1" applyAlignment="1">
      <alignment horizontal="right"/>
    </xf>
    <xf numFmtId="0" fontId="7" fillId="18" borderId="0" xfId="0" applyFont="1" applyFill="1" applyAlignment="1">
      <alignment horizontal="left"/>
    </xf>
    <xf numFmtId="0" fontId="7" fillId="18" borderId="0" xfId="0" applyFont="1" applyFill="1" applyAlignment="1">
      <alignment horizontal="left" vertical="center" wrapText="1"/>
    </xf>
    <xf numFmtId="0" fontId="17" fillId="4" borderId="0" xfId="0" applyFont="1" applyFill="1" applyAlignment="1">
      <alignment horizontal="center"/>
    </xf>
    <xf numFmtId="0" fontId="39" fillId="4" borderId="0" xfId="3" applyFont="1" applyFill="1" applyAlignment="1" applyProtection="1">
      <alignment horizontal="center" vertical="center" wrapText="1"/>
      <protection locked="0"/>
    </xf>
    <xf numFmtId="0" fontId="13" fillId="4" borderId="0" xfId="3" applyFill="1" applyAlignment="1" applyProtection="1">
      <alignment horizontal="center" vertical="top" wrapText="1"/>
      <protection locked="0"/>
    </xf>
    <xf numFmtId="0" fontId="9" fillId="5" borderId="56" xfId="0" applyFont="1" applyFill="1" applyBorder="1" applyAlignment="1">
      <alignment horizontal="center"/>
    </xf>
    <xf numFmtId="0" fontId="35" fillId="18" borderId="0" xfId="0" applyFont="1" applyFill="1" applyAlignment="1">
      <alignment horizontal="center"/>
    </xf>
    <xf numFmtId="0" fontId="9" fillId="5" borderId="61" xfId="0" applyFont="1" applyFill="1" applyBorder="1" applyAlignment="1">
      <alignment horizontal="center"/>
    </xf>
    <xf numFmtId="0" fontId="9" fillId="5" borderId="57" xfId="0" applyFont="1" applyFill="1" applyBorder="1" applyAlignment="1">
      <alignment horizontal="center"/>
    </xf>
    <xf numFmtId="0" fontId="84" fillId="18" borderId="0" xfId="0" applyFont="1" applyFill="1" applyAlignment="1">
      <alignment horizontal="left"/>
    </xf>
    <xf numFmtId="0" fontId="84" fillId="18" borderId="0" xfId="0" applyFont="1" applyFill="1" applyAlignment="1">
      <alignment horizontal="center"/>
    </xf>
    <xf numFmtId="0" fontId="13" fillId="4" borderId="17" xfId="3" applyFill="1" applyBorder="1" applyAlignment="1" applyProtection="1">
      <alignment horizontal="center" vertical="center" wrapText="1"/>
      <protection locked="0"/>
    </xf>
    <xf numFmtId="0" fontId="13" fillId="4" borderId="49" xfId="3" applyFill="1" applyBorder="1" applyAlignment="1" applyProtection="1">
      <alignment horizontal="center" vertical="center" wrapText="1"/>
      <protection locked="0"/>
    </xf>
    <xf numFmtId="0" fontId="9" fillId="0" borderId="31" xfId="0" applyFont="1" applyBorder="1" applyAlignment="1">
      <alignment vertical="center" textRotation="180"/>
    </xf>
    <xf numFmtId="0" fontId="9" fillId="0" borderId="0" xfId="0" applyFont="1" applyBorder="1" applyAlignment="1">
      <alignment vertical="center" textRotation="180"/>
    </xf>
    <xf numFmtId="0" fontId="9" fillId="0" borderId="27" xfId="0" applyFont="1" applyBorder="1" applyAlignment="1">
      <alignment vertical="center" textRotation="180"/>
    </xf>
    <xf numFmtId="0" fontId="9" fillId="0" borderId="31" xfId="0" applyFont="1" applyBorder="1" applyAlignment="1">
      <alignment horizontal="center" vertical="center" textRotation="180"/>
    </xf>
    <xf numFmtId="0" fontId="9" fillId="0" borderId="0" xfId="0" applyFont="1" applyBorder="1" applyAlignment="1">
      <alignment horizontal="center" vertical="center" textRotation="180"/>
    </xf>
    <xf numFmtId="0" fontId="9" fillId="0" borderId="27" xfId="0" applyFont="1" applyBorder="1" applyAlignment="1">
      <alignment horizontal="center" vertical="center" textRotation="180"/>
    </xf>
    <xf numFmtId="0" fontId="9" fillId="0" borderId="0" xfId="0" applyFont="1" applyAlignment="1">
      <alignment vertical="center" textRotation="180"/>
    </xf>
    <xf numFmtId="0" fontId="89" fillId="18" borderId="0" xfId="0" applyFont="1" applyFill="1" applyAlignment="1">
      <alignment horizontal="center" vertical="center"/>
    </xf>
    <xf numFmtId="0" fontId="14" fillId="0" borderId="31" xfId="0" applyFont="1" applyBorder="1" applyAlignment="1">
      <alignment horizontal="center" textRotation="180"/>
    </xf>
    <xf numFmtId="0" fontId="14" fillId="0" borderId="0" xfId="0" applyFont="1" applyBorder="1" applyAlignment="1">
      <alignment horizontal="center" textRotation="180"/>
    </xf>
    <xf numFmtId="0" fontId="14" fillId="0" borderId="27" xfId="0" applyFont="1" applyBorder="1" applyAlignment="1">
      <alignment horizontal="center" textRotation="180"/>
    </xf>
    <xf numFmtId="0" fontId="9" fillId="0" borderId="31" xfId="0" applyFont="1" applyBorder="1" applyAlignment="1">
      <alignment horizontal="center" textRotation="180"/>
    </xf>
    <xf numFmtId="0" fontId="9" fillId="0" borderId="0" xfId="0" applyFont="1" applyBorder="1" applyAlignment="1">
      <alignment horizontal="center" textRotation="180"/>
    </xf>
    <xf numFmtId="0" fontId="9" fillId="0" borderId="27" xfId="0" applyFont="1" applyBorder="1" applyAlignment="1">
      <alignment horizontal="center" textRotation="180"/>
    </xf>
    <xf numFmtId="0" fontId="0" fillId="4" borderId="0" xfId="0" applyFill="1"/>
    <xf numFmtId="0" fontId="9" fillId="0" borderId="0" xfId="0" applyFont="1" applyAlignment="1">
      <alignment horizontal="center" vertical="center" textRotation="180"/>
    </xf>
    <xf numFmtId="0" fontId="0" fillId="0" borderId="0" xfId="0" applyAlignment="1">
      <alignment vertical="center" textRotation="180"/>
    </xf>
    <xf numFmtId="0" fontId="0" fillId="0" borderId="27" xfId="0" applyBorder="1" applyAlignment="1">
      <alignment vertical="center" textRotation="180"/>
    </xf>
    <xf numFmtId="0" fontId="0" fillId="4" borderId="39" xfId="0" applyFill="1" applyBorder="1" applyAlignment="1" applyProtection="1">
      <alignment vertical="top" wrapText="1"/>
      <protection locked="0"/>
    </xf>
    <xf numFmtId="0" fontId="0" fillId="4" borderId="31" xfId="0" applyFill="1" applyBorder="1" applyAlignment="1" applyProtection="1">
      <alignment vertical="top" wrapText="1"/>
      <protection locked="0"/>
    </xf>
    <xf numFmtId="0" fontId="0" fillId="4" borderId="60" xfId="0" applyFill="1" applyBorder="1" applyAlignment="1" applyProtection="1">
      <alignment vertical="top" wrapText="1"/>
      <protection locked="0"/>
    </xf>
    <xf numFmtId="0" fontId="0" fillId="4" borderId="2" xfId="0" applyFill="1" applyBorder="1" applyAlignment="1" applyProtection="1">
      <alignment vertical="top" wrapText="1"/>
      <protection locked="0"/>
    </xf>
    <xf numFmtId="0" fontId="0" fillId="4" borderId="0" xfId="0" applyFill="1" applyBorder="1" applyAlignment="1" applyProtection="1">
      <alignment vertical="top" wrapText="1"/>
      <protection locked="0"/>
    </xf>
    <xf numFmtId="0" fontId="0" fillId="4" borderId="3" xfId="0" applyFill="1" applyBorder="1" applyAlignment="1" applyProtection="1">
      <alignment vertical="top" wrapText="1"/>
      <protection locked="0"/>
    </xf>
    <xf numFmtId="0" fontId="0" fillId="4" borderId="29" xfId="0" applyFill="1" applyBorder="1" applyAlignment="1" applyProtection="1">
      <alignment vertical="top" wrapText="1"/>
      <protection locked="0"/>
    </xf>
    <xf numFmtId="0" fontId="0" fillId="4" borderId="27" xfId="0" applyFill="1" applyBorder="1" applyAlignment="1" applyProtection="1">
      <alignment vertical="top" wrapText="1"/>
      <protection locked="0"/>
    </xf>
    <xf numFmtId="0" fontId="0" fillId="4" borderId="44" xfId="0" applyFill="1" applyBorder="1" applyAlignment="1" applyProtection="1">
      <alignment vertical="top" wrapText="1"/>
      <protection locked="0"/>
    </xf>
    <xf numFmtId="0" fontId="13" fillId="4" borderId="0" xfId="3" applyFill="1" applyBorder="1" applyAlignment="1" applyProtection="1">
      <alignment horizontal="right" vertical="center"/>
      <protection locked="0"/>
    </xf>
    <xf numFmtId="0" fontId="9" fillId="4" borderId="0" xfId="0" applyFont="1" applyFill="1" applyAlignment="1">
      <alignment horizontal="center"/>
    </xf>
    <xf numFmtId="0" fontId="0" fillId="4" borderId="0" xfId="0" applyFill="1" applyAlignment="1">
      <alignment horizontal="center"/>
    </xf>
    <xf numFmtId="0" fontId="39" fillId="4" borderId="0" xfId="3" applyFont="1" applyFill="1" applyBorder="1" applyAlignment="1" applyProtection="1">
      <alignment horizontal="right" vertical="center"/>
      <protection locked="0"/>
    </xf>
    <xf numFmtId="0" fontId="88" fillId="4" borderId="0" xfId="0" applyFont="1" applyFill="1" applyAlignment="1">
      <alignment horizontal="center"/>
    </xf>
    <xf numFmtId="0" fontId="0" fillId="4" borderId="39" xfId="0" applyFill="1" applyBorder="1" applyAlignment="1" applyProtection="1">
      <alignment horizontal="center" vertical="top" wrapText="1"/>
      <protection locked="0"/>
    </xf>
    <xf numFmtId="0" fontId="0" fillId="4" borderId="31" xfId="0" applyFill="1" applyBorder="1" applyAlignment="1" applyProtection="1">
      <alignment horizontal="center" vertical="top" wrapText="1"/>
      <protection locked="0"/>
    </xf>
    <xf numFmtId="0" fontId="0" fillId="4" borderId="60" xfId="0" applyFill="1" applyBorder="1" applyAlignment="1" applyProtection="1">
      <alignment horizontal="center" vertical="top" wrapText="1"/>
      <protection locked="0"/>
    </xf>
    <xf numFmtId="0" fontId="0" fillId="4" borderId="2" xfId="0" applyFill="1" applyBorder="1" applyAlignment="1" applyProtection="1">
      <alignment horizontal="center" vertical="top" wrapText="1"/>
      <protection locked="0"/>
    </xf>
    <xf numFmtId="0" fontId="0" fillId="4" borderId="0" xfId="0" applyFill="1" applyBorder="1" applyAlignment="1" applyProtection="1">
      <alignment horizontal="center" vertical="top" wrapText="1"/>
      <protection locked="0"/>
    </xf>
    <xf numFmtId="0" fontId="0" fillId="4" borderId="3" xfId="0" applyFill="1" applyBorder="1" applyAlignment="1" applyProtection="1">
      <alignment horizontal="center" vertical="top" wrapText="1"/>
      <protection locked="0"/>
    </xf>
    <xf numFmtId="0" fontId="0" fillId="4" borderId="29" xfId="0" applyFill="1" applyBorder="1" applyAlignment="1" applyProtection="1">
      <alignment horizontal="center" vertical="top" wrapText="1"/>
      <protection locked="0"/>
    </xf>
    <xf numFmtId="0" fontId="0" fillId="4" borderId="27" xfId="0" applyFill="1" applyBorder="1" applyAlignment="1" applyProtection="1">
      <alignment horizontal="center" vertical="top" wrapText="1"/>
      <protection locked="0"/>
    </xf>
    <xf numFmtId="0" fontId="0" fillId="4" borderId="44" xfId="0" applyFill="1" applyBorder="1" applyAlignment="1" applyProtection="1">
      <alignment horizontal="center" vertical="top" wrapText="1"/>
      <protection locked="0"/>
    </xf>
    <xf numFmtId="0" fontId="57" fillId="4" borderId="0" xfId="0" applyFont="1" applyFill="1" applyAlignment="1">
      <alignment horizontal="center" vertical="top" wrapText="1"/>
    </xf>
    <xf numFmtId="0" fontId="1" fillId="4" borderId="0" xfId="0" applyFont="1" applyFill="1" applyAlignment="1">
      <alignment horizontal="center"/>
    </xf>
    <xf numFmtId="0" fontId="1" fillId="4" borderId="0" xfId="0" applyFont="1" applyFill="1"/>
    <xf numFmtId="0" fontId="43" fillId="10" borderId="0" xfId="0" applyFont="1" applyFill="1" applyAlignment="1">
      <alignment horizontal="right" vertical="center"/>
    </xf>
    <xf numFmtId="0" fontId="70" fillId="18" borderId="1" xfId="0" applyFont="1" applyFill="1" applyBorder="1" applyAlignment="1">
      <alignment horizontal="center"/>
    </xf>
    <xf numFmtId="0" fontId="53" fillId="4" borderId="0" xfId="0" applyFont="1" applyFill="1" applyAlignment="1">
      <alignment horizontal="center"/>
    </xf>
    <xf numFmtId="0" fontId="79" fillId="18" borderId="0" xfId="0" applyFont="1" applyFill="1" applyAlignment="1">
      <alignment horizontal="center"/>
    </xf>
    <xf numFmtId="0" fontId="34" fillId="4" borderId="0" xfId="0" applyFont="1" applyFill="1" applyAlignment="1">
      <alignment horizontal="center"/>
    </xf>
    <xf numFmtId="0" fontId="97" fillId="4" borderId="0" xfId="0" applyFont="1" applyFill="1" applyAlignment="1">
      <alignment horizontal="center"/>
    </xf>
    <xf numFmtId="0" fontId="34" fillId="4" borderId="0" xfId="0" applyFont="1" applyFill="1" applyAlignment="1">
      <alignment horizontal="center" vertical="center"/>
    </xf>
    <xf numFmtId="0" fontId="15" fillId="4" borderId="0" xfId="0" applyFont="1" applyFill="1" applyAlignment="1">
      <alignment horizontal="center"/>
    </xf>
    <xf numFmtId="0" fontId="7" fillId="18" borderId="0" xfId="0" applyFont="1" applyFill="1" applyAlignment="1">
      <alignment horizontal="center"/>
    </xf>
    <xf numFmtId="0" fontId="9" fillId="4" borderId="0" xfId="0" applyFont="1" applyFill="1" applyAlignment="1">
      <alignment horizontal="center" vertical="center" wrapText="1"/>
    </xf>
    <xf numFmtId="0" fontId="1" fillId="4" borderId="18" xfId="0" applyFont="1" applyFill="1" applyBorder="1" applyAlignment="1" applyProtection="1">
      <alignment horizontal="center"/>
      <protection locked="0"/>
    </xf>
    <xf numFmtId="0" fontId="1" fillId="4" borderId="19" xfId="0" applyFont="1" applyFill="1" applyBorder="1" applyAlignment="1" applyProtection="1">
      <alignment horizontal="center"/>
      <protection locked="0"/>
    </xf>
    <xf numFmtId="0" fontId="1" fillId="4" borderId="20" xfId="0" applyFont="1" applyFill="1" applyBorder="1" applyAlignment="1" applyProtection="1">
      <alignment horizontal="center"/>
      <protection locked="0"/>
    </xf>
    <xf numFmtId="0" fontId="1" fillId="4" borderId="17" xfId="0" applyFont="1" applyFill="1" applyBorder="1" applyAlignment="1" applyProtection="1">
      <alignment horizontal="center"/>
      <protection locked="0"/>
    </xf>
    <xf numFmtId="0" fontId="1" fillId="4" borderId="0" xfId="0" applyFont="1" applyFill="1" applyBorder="1" applyAlignment="1" applyProtection="1">
      <alignment horizontal="center"/>
      <protection locked="0"/>
    </xf>
    <xf numFmtId="0" fontId="1" fillId="4" borderId="49" xfId="0" applyFont="1" applyFill="1" applyBorder="1" applyAlignment="1" applyProtection="1">
      <alignment horizontal="center"/>
      <protection locked="0"/>
    </xf>
    <xf numFmtId="0" fontId="1" fillId="4" borderId="54" xfId="0" applyFont="1" applyFill="1" applyBorder="1" applyAlignment="1" applyProtection="1">
      <alignment horizontal="center"/>
      <protection locked="0"/>
    </xf>
    <xf numFmtId="0" fontId="1" fillId="4" borderId="36" xfId="0" applyFont="1" applyFill="1" applyBorder="1" applyAlignment="1" applyProtection="1">
      <alignment horizontal="center"/>
      <protection locked="0"/>
    </xf>
    <xf numFmtId="0" fontId="1" fillId="4" borderId="58" xfId="0" applyFont="1" applyFill="1" applyBorder="1" applyAlignment="1" applyProtection="1">
      <alignment horizontal="center"/>
      <protection locked="0"/>
    </xf>
    <xf numFmtId="0" fontId="85" fillId="18" borderId="0" xfId="0" applyFont="1" applyFill="1" applyBorder="1" applyAlignment="1">
      <alignment horizontal="center"/>
    </xf>
    <xf numFmtId="0" fontId="9" fillId="4" borderId="0" xfId="0" applyFont="1" applyFill="1" applyBorder="1" applyAlignment="1">
      <alignment horizontal="right"/>
    </xf>
    <xf numFmtId="0" fontId="9" fillId="4" borderId="3" xfId="0" applyFont="1" applyFill="1" applyBorder="1" applyAlignment="1">
      <alignment horizontal="right"/>
    </xf>
    <xf numFmtId="0" fontId="9" fillId="0" borderId="0" xfId="0" applyFont="1" applyFill="1" applyBorder="1" applyAlignment="1">
      <alignment horizontal="right"/>
    </xf>
    <xf numFmtId="0" fontId="11" fillId="0" borderId="0" xfId="0" applyFont="1" applyFill="1" applyAlignment="1" applyProtection="1">
      <alignment horizontal="center"/>
      <protection hidden="1"/>
    </xf>
    <xf numFmtId="0" fontId="88" fillId="4" borderId="0" xfId="0" applyFont="1" applyFill="1" applyAlignment="1" applyProtection="1">
      <alignment horizontal="center"/>
      <protection hidden="1"/>
    </xf>
    <xf numFmtId="0" fontId="13" fillId="4" borderId="0" xfId="3" applyFill="1" applyBorder="1" applyAlignment="1" applyProtection="1">
      <alignment horizontal="right"/>
      <protection locked="0"/>
    </xf>
    <xf numFmtId="0" fontId="0" fillId="4" borderId="18" xfId="0" applyFill="1" applyBorder="1" applyAlignment="1" applyProtection="1">
      <alignment horizontal="center" vertical="top"/>
      <protection locked="0"/>
    </xf>
    <xf numFmtId="0" fontId="0" fillId="4" borderId="19" xfId="0" applyFill="1" applyBorder="1" applyAlignment="1" applyProtection="1">
      <alignment horizontal="center" vertical="top"/>
      <protection locked="0"/>
    </xf>
    <xf numFmtId="0" fontId="0" fillId="4" borderId="20" xfId="0" applyFill="1" applyBorder="1" applyAlignment="1" applyProtection="1">
      <alignment horizontal="center" vertical="top"/>
      <protection locked="0"/>
    </xf>
    <xf numFmtId="0" fontId="0" fillId="4" borderId="17" xfId="0" applyFill="1" applyBorder="1" applyAlignment="1" applyProtection="1">
      <alignment horizontal="center" vertical="top"/>
      <protection locked="0"/>
    </xf>
    <xf numFmtId="0" fontId="0" fillId="4" borderId="0" xfId="0" applyFill="1" applyBorder="1" applyAlignment="1" applyProtection="1">
      <alignment horizontal="center" vertical="top"/>
      <protection locked="0"/>
    </xf>
    <xf numFmtId="0" fontId="0" fillId="4" borderId="49" xfId="0" applyFill="1" applyBorder="1" applyAlignment="1" applyProtection="1">
      <alignment horizontal="center" vertical="top"/>
      <protection locked="0"/>
    </xf>
    <xf numFmtId="0" fontId="0" fillId="4" borderId="54" xfId="0" applyFill="1" applyBorder="1" applyAlignment="1" applyProtection="1">
      <alignment horizontal="center" vertical="top"/>
      <protection locked="0"/>
    </xf>
    <xf numFmtId="0" fontId="0" fillId="4" borderId="36" xfId="0" applyFill="1" applyBorder="1" applyAlignment="1" applyProtection="1">
      <alignment horizontal="center" vertical="top"/>
      <protection locked="0"/>
    </xf>
    <xf numFmtId="0" fontId="0" fillId="4" borderId="58" xfId="0" applyFill="1" applyBorder="1" applyAlignment="1" applyProtection="1">
      <alignment horizontal="center" vertical="top"/>
      <protection locked="0"/>
    </xf>
    <xf numFmtId="0" fontId="11" fillId="18" borderId="0" xfId="0" applyFont="1" applyFill="1" applyAlignment="1">
      <alignment horizontal="center"/>
    </xf>
    <xf numFmtId="0" fontId="0" fillId="4" borderId="18" xfId="0" applyFill="1" applyBorder="1" applyAlignment="1" applyProtection="1">
      <alignment horizontal="center"/>
      <protection locked="0"/>
    </xf>
    <xf numFmtId="0" fontId="0" fillId="4" borderId="19" xfId="0" applyFill="1" applyBorder="1" applyAlignment="1" applyProtection="1">
      <alignment horizontal="center"/>
      <protection locked="0"/>
    </xf>
    <xf numFmtId="0" fontId="0" fillId="4" borderId="20" xfId="0" applyFill="1" applyBorder="1" applyAlignment="1" applyProtection="1">
      <alignment horizontal="center"/>
      <protection locked="0"/>
    </xf>
    <xf numFmtId="0" fontId="0" fillId="4" borderId="17" xfId="0" applyFill="1" applyBorder="1" applyAlignment="1" applyProtection="1">
      <alignment horizontal="center"/>
      <protection locked="0"/>
    </xf>
    <xf numFmtId="0" fontId="0" fillId="4" borderId="0" xfId="0" applyFill="1" applyBorder="1" applyAlignment="1" applyProtection="1">
      <alignment horizontal="center"/>
      <protection locked="0"/>
    </xf>
    <xf numFmtId="0" fontId="0" fillId="4" borderId="49" xfId="0" applyFill="1" applyBorder="1" applyAlignment="1" applyProtection="1">
      <alignment horizontal="center"/>
      <protection locked="0"/>
    </xf>
    <xf numFmtId="0" fontId="0" fillId="4" borderId="54" xfId="0" applyFill="1" applyBorder="1" applyAlignment="1" applyProtection="1">
      <alignment horizontal="center"/>
      <protection locked="0"/>
    </xf>
    <xf numFmtId="0" fontId="0" fillId="4" borderId="36" xfId="0" applyFill="1" applyBorder="1" applyAlignment="1" applyProtection="1">
      <alignment horizontal="center"/>
      <protection locked="0"/>
    </xf>
    <xf numFmtId="0" fontId="0" fillId="4" borderId="58" xfId="0" applyFill="1" applyBorder="1" applyAlignment="1" applyProtection="1">
      <alignment horizontal="center"/>
      <protection locked="0"/>
    </xf>
    <xf numFmtId="0" fontId="0" fillId="4" borderId="18" xfId="0" applyFill="1" applyBorder="1" applyAlignment="1">
      <alignment horizontal="center"/>
    </xf>
    <xf numFmtId="0" fontId="0" fillId="4" borderId="19" xfId="0" applyFill="1" applyBorder="1" applyAlignment="1">
      <alignment horizontal="center"/>
    </xf>
    <xf numFmtId="0" fontId="0" fillId="4" borderId="20" xfId="0" applyFill="1" applyBorder="1" applyAlignment="1">
      <alignment horizontal="center"/>
    </xf>
    <xf numFmtId="0" fontId="0" fillId="4" borderId="17" xfId="0" applyFill="1" applyBorder="1" applyAlignment="1">
      <alignment horizontal="center"/>
    </xf>
    <xf numFmtId="0" fontId="0" fillId="4" borderId="0" xfId="0" applyFill="1" applyBorder="1" applyAlignment="1">
      <alignment horizontal="center"/>
    </xf>
    <xf numFmtId="0" fontId="0" fillId="4" borderId="49" xfId="0" applyFill="1" applyBorder="1" applyAlignment="1">
      <alignment horizontal="center"/>
    </xf>
    <xf numFmtId="0" fontId="0" fillId="4" borderId="54" xfId="0" applyFill="1" applyBorder="1" applyAlignment="1">
      <alignment horizontal="center"/>
    </xf>
    <xf numFmtId="0" fontId="0" fillId="4" borderId="36" xfId="0" applyFill="1" applyBorder="1" applyAlignment="1">
      <alignment horizontal="center"/>
    </xf>
    <xf numFmtId="0" fontId="0" fillId="4" borderId="58" xfId="0" applyFill="1" applyBorder="1" applyAlignment="1">
      <alignment horizontal="center"/>
    </xf>
    <xf numFmtId="0" fontId="7" fillId="18" borderId="0" xfId="0" applyFont="1" applyFill="1" applyBorder="1" applyAlignment="1">
      <alignment horizontal="center" vertical="center"/>
    </xf>
    <xf numFmtId="0" fontId="57" fillId="0" borderId="0" xfId="0" applyFont="1" applyFill="1" applyBorder="1" applyAlignment="1">
      <alignment horizontal="center" vertical="top" wrapText="1"/>
    </xf>
    <xf numFmtId="172" fontId="11" fillId="4" borderId="0" xfId="1" applyNumberFormat="1" applyFont="1" applyFill="1" applyBorder="1" applyAlignment="1" applyProtection="1">
      <alignment horizontal="center"/>
    </xf>
    <xf numFmtId="0" fontId="5" fillId="5" borderId="0" xfId="0" applyFont="1" applyFill="1" applyAlignment="1">
      <alignment horizontal="left"/>
    </xf>
    <xf numFmtId="0" fontId="0" fillId="4" borderId="0" xfId="0" applyFill="1" applyAlignment="1">
      <alignment horizontal="center" vertical="center" wrapText="1"/>
    </xf>
    <xf numFmtId="0" fontId="9" fillId="4" borderId="0" xfId="0" applyFont="1" applyFill="1" applyAlignment="1">
      <alignment horizontal="right" vertical="center"/>
    </xf>
    <xf numFmtId="0" fontId="9" fillId="4" borderId="0" xfId="0" applyFont="1" applyFill="1" applyBorder="1" applyAlignment="1">
      <alignment horizontal="right" vertical="center"/>
    </xf>
    <xf numFmtId="0" fontId="9" fillId="4" borderId="0" xfId="0" applyFont="1" applyFill="1" applyBorder="1" applyAlignment="1">
      <alignment horizontal="center" vertical="center"/>
    </xf>
    <xf numFmtId="0" fontId="5" fillId="5" borderId="0" xfId="0" applyFont="1" applyFill="1" applyAlignment="1">
      <alignment horizontal="right" vertical="center"/>
    </xf>
    <xf numFmtId="0" fontId="9" fillId="5" borderId="0" xfId="0" applyFont="1" applyFill="1" applyBorder="1" applyAlignment="1">
      <alignment horizontal="center"/>
    </xf>
    <xf numFmtId="0" fontId="0" fillId="4" borderId="0" xfId="0" applyFill="1" applyBorder="1" applyAlignment="1">
      <alignment horizontal="left" wrapText="1"/>
    </xf>
    <xf numFmtId="0" fontId="107" fillId="4" borderId="0" xfId="0" applyFont="1" applyFill="1" applyBorder="1" applyAlignment="1">
      <alignment horizontal="center" wrapText="1"/>
    </xf>
    <xf numFmtId="0" fontId="9" fillId="20" borderId="0" xfId="0" applyFont="1" applyFill="1" applyBorder="1" applyAlignment="1">
      <alignment horizontal="center"/>
    </xf>
    <xf numFmtId="0" fontId="51" fillId="0" borderId="0" xfId="0" applyFont="1" applyAlignment="1">
      <alignment horizontal="left"/>
    </xf>
    <xf numFmtId="0" fontId="9" fillId="6" borderId="0" xfId="0" applyFont="1" applyFill="1" applyAlignment="1">
      <alignment horizontal="left"/>
    </xf>
    <xf numFmtId="0" fontId="9" fillId="21" borderId="0" xfId="0" applyFont="1" applyFill="1" applyAlignment="1">
      <alignment horizontal="center"/>
    </xf>
    <xf numFmtId="0" fontId="9" fillId="4" borderId="46" xfId="0" applyFont="1" applyFill="1" applyBorder="1" applyAlignment="1">
      <alignment horizontal="center"/>
    </xf>
    <xf numFmtId="0" fontId="9" fillId="4" borderId="53" xfId="0" applyFont="1" applyFill="1" applyBorder="1" applyAlignment="1">
      <alignment horizontal="center"/>
    </xf>
    <xf numFmtId="0" fontId="0" fillId="4" borderId="0" xfId="0" applyFill="1" applyAlignment="1">
      <alignment horizontal="left"/>
    </xf>
    <xf numFmtId="0" fontId="9" fillId="21" borderId="0" xfId="0" applyFont="1" applyFill="1" applyAlignment="1">
      <alignment horizontal="center" vertical="center"/>
    </xf>
    <xf numFmtId="0" fontId="9" fillId="12" borderId="0" xfId="0" applyFont="1" applyFill="1" applyAlignment="1">
      <alignment horizontal="center" vertical="center"/>
    </xf>
    <xf numFmtId="0" fontId="108" fillId="18" borderId="29" xfId="0" applyFont="1" applyFill="1" applyBorder="1" applyAlignment="1">
      <alignment horizontal="center"/>
    </xf>
    <xf numFmtId="0" fontId="108" fillId="18" borderId="44" xfId="0" applyFont="1" applyFill="1" applyBorder="1" applyAlignment="1">
      <alignment horizontal="center"/>
    </xf>
    <xf numFmtId="172" fontId="9" fillId="4" borderId="39" xfId="1" applyNumberFormat="1" applyFont="1" applyFill="1" applyBorder="1" applyAlignment="1" applyProtection="1">
      <alignment horizontal="center"/>
      <protection hidden="1"/>
    </xf>
    <xf numFmtId="172" fontId="9" fillId="4" borderId="60" xfId="1" applyNumberFormat="1" applyFont="1" applyFill="1" applyBorder="1" applyAlignment="1" applyProtection="1">
      <alignment horizontal="center"/>
      <protection hidden="1"/>
    </xf>
    <xf numFmtId="0" fontId="87" fillId="4" borderId="29" xfId="0" applyFont="1" applyFill="1" applyBorder="1" applyAlignment="1">
      <alignment horizontal="center"/>
    </xf>
    <xf numFmtId="0" fontId="87" fillId="4" borderId="44" xfId="0" applyFont="1" applyFill="1" applyBorder="1" applyAlignment="1">
      <alignment horizontal="center"/>
    </xf>
    <xf numFmtId="0" fontId="9" fillId="12" borderId="0" xfId="0" applyFont="1" applyFill="1" applyAlignment="1" applyProtection="1">
      <alignment horizontal="center"/>
      <protection hidden="1"/>
    </xf>
    <xf numFmtId="0" fontId="51" fillId="0" borderId="0" xfId="0" applyFont="1" applyFill="1" applyAlignment="1">
      <alignment horizontal="center"/>
    </xf>
    <xf numFmtId="0" fontId="28" fillId="4" borderId="0" xfId="0" applyFont="1" applyFill="1" applyAlignment="1" applyProtection="1">
      <alignment horizontal="center"/>
      <protection hidden="1"/>
    </xf>
    <xf numFmtId="0" fontId="13" fillId="4" borderId="0" xfId="3" applyFill="1" applyBorder="1" applyAlignment="1" applyProtection="1">
      <alignment horizontal="center"/>
      <protection locked="0"/>
    </xf>
    <xf numFmtId="0" fontId="0" fillId="0" borderId="0" xfId="0"/>
    <xf numFmtId="0" fontId="53" fillId="4" borderId="0" xfId="0" applyFont="1" applyFill="1" applyAlignment="1" applyProtection="1">
      <alignment horizontal="center"/>
      <protection hidden="1"/>
    </xf>
    <xf numFmtId="0" fontId="87" fillId="4" borderId="0" xfId="0" applyFont="1" applyFill="1" applyAlignment="1">
      <alignment horizontal="center"/>
    </xf>
    <xf numFmtId="0" fontId="109" fillId="4" borderId="0" xfId="0" applyFont="1" applyFill="1" applyAlignment="1">
      <alignment horizontal="center"/>
    </xf>
    <xf numFmtId="0" fontId="34" fillId="6" borderId="0" xfId="0" applyFont="1" applyFill="1" applyAlignment="1">
      <alignment horizontal="center"/>
    </xf>
    <xf numFmtId="0" fontId="9" fillId="5" borderId="54" xfId="0" applyFont="1" applyFill="1" applyBorder="1" applyAlignment="1">
      <alignment horizontal="center"/>
    </xf>
    <xf numFmtId="0" fontId="9" fillId="5" borderId="36" xfId="0" applyFont="1" applyFill="1" applyBorder="1" applyAlignment="1">
      <alignment horizontal="center"/>
    </xf>
    <xf numFmtId="0" fontId="9" fillId="5" borderId="58" xfId="0" applyFont="1" applyFill="1" applyBorder="1" applyAlignment="1">
      <alignment horizontal="center"/>
    </xf>
    <xf numFmtId="0" fontId="9" fillId="0" borderId="0" xfId="0" applyFont="1" applyAlignment="1">
      <alignment horizontal="center"/>
    </xf>
    <xf numFmtId="0" fontId="9" fillId="12" borderId="0" xfId="0" applyFont="1" applyFill="1" applyAlignment="1">
      <alignment horizontal="center"/>
    </xf>
    <xf numFmtId="0" fontId="9" fillId="5" borderId="52" xfId="0" applyFont="1" applyFill="1" applyBorder="1" applyAlignment="1">
      <alignment horizontal="center"/>
    </xf>
    <xf numFmtId="0" fontId="43" fillId="21" borderId="0" xfId="0" applyFont="1" applyFill="1" applyAlignment="1">
      <alignment horizontal="center"/>
    </xf>
    <xf numFmtId="0" fontId="9" fillId="19" borderId="0" xfId="0" applyFont="1" applyFill="1" applyAlignment="1">
      <alignment horizontal="center"/>
    </xf>
    <xf numFmtId="0" fontId="9" fillId="0" borderId="52" xfId="0" applyFont="1" applyBorder="1" applyAlignment="1">
      <alignment horizontal="center"/>
    </xf>
    <xf numFmtId="0" fontId="7" fillId="9" borderId="0" xfId="0" applyFont="1" applyFill="1" applyAlignment="1">
      <alignment horizontal="center"/>
    </xf>
    <xf numFmtId="0" fontId="9" fillId="0" borderId="36" xfId="0" applyFont="1" applyBorder="1" applyAlignment="1">
      <alignment horizontal="center"/>
    </xf>
    <xf numFmtId="0" fontId="0" fillId="6" borderId="46" xfId="0" applyFill="1" applyBorder="1" applyAlignment="1" applyProtection="1">
      <alignment horizontal="left"/>
      <protection locked="0"/>
    </xf>
    <xf numFmtId="0" fontId="0" fillId="6" borderId="45" xfId="0" applyFill="1" applyBorder="1" applyAlignment="1" applyProtection="1">
      <alignment horizontal="left"/>
      <protection locked="0"/>
    </xf>
    <xf numFmtId="0" fontId="0" fillId="6" borderId="53" xfId="0" applyFill="1" applyBorder="1" applyAlignment="1" applyProtection="1">
      <alignment horizontal="left"/>
      <protection locked="0"/>
    </xf>
  </cellXfs>
  <cellStyles count="4">
    <cellStyle name="Comma" xfId="1" builtinId="3"/>
    <cellStyle name="Currency" xfId="2" builtinId="4"/>
    <cellStyle name="Hyperlink" xfId="3" builtinId="8"/>
    <cellStyle name="Normal" xfId="0" builtinId="0"/>
  </cellStyles>
  <dxfs count="193">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i val="0"/>
        <condense val="0"/>
        <extend val="0"/>
        <color indexed="9"/>
      </font>
      <fill>
        <patternFill>
          <bgColor indexed="10"/>
        </patternFill>
      </fill>
    </dxf>
    <dxf>
      <fill>
        <patternFill>
          <bgColor indexed="10"/>
        </patternFill>
      </fill>
    </dxf>
    <dxf>
      <font>
        <condense val="0"/>
        <extend val="0"/>
        <color indexed="10"/>
      </font>
      <fill>
        <patternFill>
          <bgColor indexed="10"/>
        </patternFill>
      </fill>
    </dxf>
    <dxf>
      <font>
        <condense val="0"/>
        <extend val="0"/>
        <color indexed="10"/>
      </font>
      <fill>
        <patternFill>
          <bgColor indexed="10"/>
        </patternFill>
      </fill>
    </dxf>
    <dxf>
      <font>
        <b/>
        <i val="0"/>
        <condense val="0"/>
        <extend val="0"/>
        <color indexed="9"/>
      </font>
      <fill>
        <patternFill>
          <bgColor indexed="10"/>
        </patternFill>
      </fill>
    </dxf>
    <dxf>
      <fill>
        <patternFill>
          <bgColor indexed="22"/>
        </patternFill>
      </fill>
    </dxf>
    <dxf>
      <font>
        <b/>
        <i val="0"/>
        <condense val="0"/>
        <extend val="0"/>
        <color indexed="9"/>
      </font>
      <fill>
        <patternFill>
          <bgColor indexed="10"/>
        </patternFill>
      </fill>
    </dxf>
    <dxf>
      <fill>
        <patternFill>
          <bgColor indexed="22"/>
        </patternFill>
      </fill>
    </dxf>
    <dxf>
      <font>
        <condense val="0"/>
        <extend val="0"/>
        <color indexed="10"/>
      </font>
      <fill>
        <patternFill>
          <bgColor indexed="10"/>
        </patternFill>
      </fill>
    </dxf>
    <dxf>
      <font>
        <condense val="0"/>
        <extend val="0"/>
        <color indexed="10"/>
      </font>
      <fill>
        <patternFill>
          <bgColor indexed="10"/>
        </patternFill>
      </fill>
    </dxf>
    <dxf>
      <font>
        <b/>
        <i/>
        <condense val="0"/>
        <extend val="0"/>
      </font>
      <fill>
        <patternFill>
          <bgColor indexed="46"/>
        </patternFill>
      </fill>
    </dxf>
    <dxf>
      <fill>
        <patternFill>
          <bgColor indexed="46"/>
        </patternFill>
      </fill>
    </dxf>
    <dxf>
      <font>
        <b/>
        <i/>
        <condense val="0"/>
        <extend val="0"/>
      </font>
      <fill>
        <patternFill>
          <bgColor indexed="46"/>
        </patternFill>
      </fill>
    </dxf>
    <dxf>
      <font>
        <b/>
        <i val="0"/>
        <condense val="0"/>
        <extend val="0"/>
        <color indexed="9"/>
      </font>
      <fill>
        <patternFill>
          <bgColor indexed="10"/>
        </patternFill>
      </fill>
    </dxf>
    <dxf>
      <font>
        <condense val="0"/>
        <extend val="0"/>
        <color indexed="10"/>
      </font>
      <fill>
        <patternFill>
          <bgColor indexed="10"/>
        </patternFill>
      </fill>
    </dxf>
    <dxf>
      <font>
        <b/>
        <i val="0"/>
        <condense val="0"/>
        <extend val="0"/>
        <color indexed="9"/>
      </font>
      <fill>
        <patternFill>
          <bgColor indexed="10"/>
        </patternFill>
      </fill>
    </dxf>
    <dxf>
      <fill>
        <patternFill>
          <bgColor indexed="46"/>
        </patternFill>
      </fill>
    </dxf>
    <dxf>
      <fill>
        <patternFill>
          <bgColor indexed="46"/>
        </patternFill>
      </fill>
    </dxf>
    <dxf>
      <fill>
        <patternFill>
          <bgColor indexed="46"/>
        </patternFill>
      </fill>
    </dxf>
    <dxf>
      <font>
        <condense val="0"/>
        <extend val="0"/>
        <color indexed="10"/>
      </font>
      <fill>
        <patternFill>
          <bgColor indexed="10"/>
        </patternFill>
      </fill>
    </dxf>
    <dxf>
      <font>
        <b/>
        <i val="0"/>
        <condense val="0"/>
        <extend val="0"/>
      </font>
      <fill>
        <patternFill>
          <bgColor indexed="11"/>
        </patternFill>
      </fill>
    </dxf>
    <dxf>
      <font>
        <b/>
        <i val="0"/>
        <condense val="0"/>
        <extend val="0"/>
        <color indexed="9"/>
      </font>
      <fill>
        <patternFill>
          <bgColor indexed="10"/>
        </patternFill>
      </fill>
    </dxf>
    <dxf>
      <font>
        <b/>
        <i val="0"/>
        <condense val="0"/>
        <extend val="0"/>
      </font>
      <fill>
        <patternFill>
          <bgColor indexed="11"/>
        </patternFill>
      </fill>
    </dxf>
    <dxf>
      <font>
        <condense val="0"/>
        <extend val="0"/>
        <color indexed="10"/>
      </font>
      <fill>
        <patternFill>
          <bgColor indexed="10"/>
        </patternFill>
      </fill>
    </dxf>
    <dxf>
      <font>
        <b/>
        <i val="0"/>
        <condense val="0"/>
        <extend val="0"/>
      </font>
      <fill>
        <patternFill>
          <bgColor indexed="11"/>
        </patternFill>
      </fill>
    </dxf>
    <dxf>
      <font>
        <condense val="0"/>
        <extend val="0"/>
        <color indexed="10"/>
      </font>
      <fill>
        <patternFill>
          <bgColor indexed="10"/>
        </patternFill>
      </fill>
    </dxf>
    <dxf>
      <font>
        <b/>
        <i val="0"/>
        <condense val="0"/>
        <extend val="0"/>
        <color indexed="9"/>
      </font>
      <fill>
        <patternFill>
          <bgColor indexed="10"/>
        </patternFill>
      </fill>
    </dxf>
    <dxf>
      <font>
        <b/>
        <i val="0"/>
        <condense val="0"/>
        <extend val="0"/>
        <color indexed="9"/>
      </font>
      <fill>
        <patternFill>
          <bgColor indexed="48"/>
        </patternFill>
      </fill>
    </dxf>
    <dxf>
      <font>
        <b/>
        <i val="0"/>
        <condense val="0"/>
        <extend val="0"/>
      </font>
      <fill>
        <patternFill>
          <bgColor indexed="11"/>
        </patternFill>
      </fill>
    </dxf>
    <dxf>
      <font>
        <condense val="0"/>
        <extend val="0"/>
        <color indexed="10"/>
      </font>
      <fill>
        <patternFill>
          <bgColor indexed="10"/>
        </patternFill>
      </fill>
    </dxf>
    <dxf>
      <font>
        <b/>
        <i val="0"/>
        <condense val="0"/>
        <extend val="0"/>
        <color indexed="9"/>
      </font>
      <fill>
        <patternFill>
          <bgColor indexed="10"/>
        </patternFill>
      </fill>
    </dxf>
    <dxf>
      <font>
        <b/>
        <i val="0"/>
        <condense val="0"/>
        <extend val="0"/>
      </font>
      <fill>
        <patternFill>
          <bgColor indexed="11"/>
        </patternFill>
      </fill>
    </dxf>
    <dxf>
      <font>
        <b/>
        <i val="0"/>
        <condense val="0"/>
        <extend val="0"/>
        <color indexed="9"/>
      </font>
      <fill>
        <patternFill>
          <bgColor indexed="10"/>
        </patternFill>
      </fill>
    </dxf>
    <dxf>
      <font>
        <b/>
        <i val="0"/>
        <condense val="0"/>
        <extend val="0"/>
      </font>
      <fill>
        <patternFill>
          <bgColor indexed="11"/>
        </patternFill>
      </fill>
    </dxf>
    <dxf>
      <font>
        <b/>
        <i val="0"/>
        <condense val="0"/>
        <extend val="0"/>
        <color indexed="9"/>
      </font>
      <fill>
        <patternFill>
          <bgColor indexed="10"/>
        </patternFill>
      </fill>
    </dxf>
    <dxf>
      <font>
        <condense val="0"/>
        <extend val="0"/>
        <color indexed="10"/>
      </font>
      <fill>
        <patternFill>
          <bgColor indexed="10"/>
        </patternFill>
      </fill>
    </dxf>
    <dxf>
      <fill>
        <patternFill patternType="darkUp">
          <bgColor indexed="9"/>
        </patternFill>
      </fill>
    </dxf>
    <dxf>
      <fill>
        <patternFill>
          <bgColor indexed="50"/>
        </patternFill>
      </fill>
    </dxf>
    <dxf>
      <fill>
        <patternFill>
          <bgColor indexed="50"/>
        </patternFill>
      </fill>
    </dxf>
    <dxf>
      <font>
        <b/>
        <i val="0"/>
        <condense val="0"/>
        <extend val="0"/>
      </font>
      <fill>
        <patternFill>
          <bgColor indexed="10"/>
        </patternFill>
      </fill>
    </dxf>
    <dxf>
      <fill>
        <patternFill>
          <bgColor indexed="50"/>
        </patternFill>
      </fill>
    </dxf>
    <dxf>
      <fill>
        <patternFill>
          <bgColor indexed="50"/>
        </patternFill>
      </fill>
    </dxf>
    <dxf>
      <font>
        <b/>
        <i val="0"/>
        <condense val="0"/>
        <extend val="0"/>
        <color auto="1"/>
      </font>
      <fill>
        <patternFill>
          <bgColor indexed="10"/>
        </patternFill>
      </fill>
    </dxf>
    <dxf>
      <font>
        <b/>
        <i val="0"/>
        <condense val="0"/>
        <extend val="0"/>
        <color auto="1"/>
      </font>
      <fill>
        <patternFill>
          <bgColor indexed="10"/>
        </patternFill>
      </fill>
    </dxf>
    <dxf>
      <font>
        <b/>
        <i val="0"/>
        <condense val="0"/>
        <extend val="0"/>
        <color auto="1"/>
      </font>
      <fill>
        <patternFill>
          <bgColor indexed="10"/>
        </patternFill>
      </fill>
    </dxf>
    <dxf>
      <font>
        <b/>
        <i val="0"/>
        <condense val="0"/>
        <extend val="0"/>
        <color auto="1"/>
      </font>
      <fill>
        <patternFill>
          <bgColor indexed="10"/>
        </patternFill>
      </fill>
    </dxf>
    <dxf>
      <font>
        <b/>
        <i val="0"/>
        <condense val="0"/>
        <extend val="0"/>
        <color indexed="8"/>
      </font>
      <fill>
        <patternFill>
          <bgColor indexed="10"/>
        </patternFill>
      </fill>
    </dxf>
    <dxf>
      <font>
        <b/>
        <i val="0"/>
        <condense val="0"/>
        <extend val="0"/>
        <color indexed="9"/>
      </font>
      <fill>
        <patternFill>
          <bgColor indexed="10"/>
        </patternFill>
      </fill>
    </dxf>
    <dxf>
      <fill>
        <patternFill>
          <bgColor indexed="50"/>
        </patternFill>
      </fill>
    </dxf>
    <dxf>
      <fill>
        <patternFill>
          <bgColor indexed="50"/>
        </patternFill>
      </fill>
    </dxf>
    <dxf>
      <font>
        <b/>
        <i val="0"/>
        <condense val="0"/>
        <extend val="0"/>
        <color indexed="8"/>
      </font>
      <fill>
        <patternFill>
          <bgColor indexed="10"/>
        </patternFill>
      </fill>
    </dxf>
    <dxf>
      <fill>
        <patternFill>
          <bgColor indexed="10"/>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0"/>
        </patternFill>
      </fill>
    </dxf>
    <dxf>
      <font>
        <b val="0"/>
        <i/>
        <condense val="0"/>
        <extend val="0"/>
        <color auto="1"/>
      </font>
      <fill>
        <patternFill patternType="none">
          <bgColor indexed="65"/>
        </patternFill>
      </fill>
    </dxf>
    <dxf>
      <fill>
        <patternFill>
          <bgColor indexed="50"/>
        </patternFill>
      </fill>
    </dxf>
    <dxf>
      <fill>
        <patternFill>
          <bgColor indexed="50"/>
        </patternFill>
      </fill>
    </dxf>
    <dxf>
      <font>
        <b/>
        <i val="0"/>
        <condense val="0"/>
        <extend val="0"/>
        <color indexed="9"/>
      </font>
      <fill>
        <patternFill>
          <bgColor indexed="10"/>
        </patternFill>
      </fill>
    </dxf>
    <dxf>
      <font>
        <condense val="0"/>
        <extend val="0"/>
        <color indexed="10"/>
      </font>
      <fill>
        <patternFill>
          <bgColor indexed="10"/>
        </patternFill>
      </fill>
    </dxf>
    <dxf>
      <fill>
        <patternFill>
          <bgColor indexed="50"/>
        </patternFill>
      </fill>
    </dxf>
    <dxf>
      <font>
        <b/>
        <i val="0"/>
        <condense val="0"/>
        <extend val="0"/>
      </font>
      <fill>
        <patternFill>
          <bgColor indexed="50"/>
        </patternFill>
      </fill>
    </dxf>
    <dxf>
      <fill>
        <patternFill>
          <bgColor indexed="50"/>
        </patternFill>
      </fill>
    </dxf>
    <dxf>
      <fill>
        <patternFill>
          <bgColor indexed="50"/>
        </patternFill>
      </fill>
    </dxf>
    <dxf>
      <font>
        <b/>
        <i val="0"/>
        <condense val="0"/>
        <extend val="0"/>
        <color indexed="9"/>
      </font>
      <fill>
        <patternFill>
          <bgColor indexed="10"/>
        </patternFill>
      </fill>
    </dxf>
    <dxf>
      <font>
        <condense val="0"/>
        <extend val="0"/>
        <color indexed="10"/>
      </font>
      <fill>
        <patternFill>
          <bgColor indexed="10"/>
        </patternFill>
      </fill>
    </dxf>
    <dxf>
      <fill>
        <patternFill>
          <bgColor indexed="50"/>
        </patternFill>
      </fill>
    </dxf>
    <dxf>
      <fill>
        <patternFill>
          <bgColor indexed="50"/>
        </patternFill>
      </fill>
    </dxf>
    <dxf>
      <font>
        <b/>
        <i val="0"/>
        <condense val="0"/>
        <extend val="0"/>
      </font>
      <fill>
        <patternFill>
          <bgColor indexed="50"/>
        </patternFill>
      </fill>
    </dxf>
    <dxf>
      <font>
        <b/>
        <i val="0"/>
        <condense val="0"/>
        <extend val="0"/>
        <color indexed="9"/>
      </font>
      <fill>
        <patternFill>
          <bgColor indexed="10"/>
        </patternFill>
      </fill>
    </dxf>
    <dxf>
      <font>
        <condense val="0"/>
        <extend val="0"/>
        <color indexed="10"/>
      </font>
      <fill>
        <patternFill>
          <bgColor indexed="10"/>
        </patternFill>
      </fill>
    </dxf>
    <dxf>
      <fill>
        <patternFill>
          <bgColor indexed="50"/>
        </patternFill>
      </fill>
    </dxf>
    <dxf>
      <fill>
        <patternFill>
          <bgColor indexed="50"/>
        </patternFill>
      </fill>
    </dxf>
    <dxf>
      <font>
        <b/>
        <i val="0"/>
        <condense val="0"/>
        <extend val="0"/>
      </font>
      <fill>
        <patternFill>
          <bgColor indexed="50"/>
        </patternFill>
      </fill>
    </dxf>
    <dxf>
      <font>
        <b/>
        <i val="0"/>
        <condense val="0"/>
        <extend val="0"/>
        <color indexed="9"/>
      </font>
      <fill>
        <patternFill>
          <bgColor indexed="10"/>
        </patternFill>
      </fill>
    </dxf>
    <dxf>
      <font>
        <b/>
        <i val="0"/>
        <condense val="0"/>
        <extend val="0"/>
        <color indexed="13"/>
      </font>
      <fill>
        <patternFill>
          <bgColor indexed="10"/>
        </patternFill>
      </fill>
    </dxf>
    <dxf>
      <font>
        <b/>
        <i val="0"/>
        <condense val="0"/>
        <extend val="0"/>
        <color indexed="13"/>
      </font>
      <fill>
        <patternFill>
          <bgColor indexed="10"/>
        </patternFill>
      </fill>
    </dxf>
    <dxf>
      <fill>
        <patternFill>
          <bgColor indexed="50"/>
        </patternFill>
      </fill>
    </dxf>
    <dxf>
      <fill>
        <patternFill>
          <bgColor indexed="50"/>
        </patternFill>
      </fill>
    </dxf>
    <dxf>
      <font>
        <condense val="0"/>
        <extend val="0"/>
        <color indexed="10"/>
      </font>
      <fill>
        <patternFill>
          <bgColor indexed="10"/>
        </patternFill>
      </fill>
    </dxf>
    <dxf>
      <fill>
        <patternFill>
          <bgColor indexed="50"/>
        </patternFill>
      </fill>
    </dxf>
    <dxf>
      <font>
        <b/>
        <i val="0"/>
        <condense val="0"/>
        <extend val="0"/>
        <color indexed="9"/>
      </font>
      <fill>
        <patternFill>
          <bgColor indexed="10"/>
        </patternFill>
      </fill>
    </dxf>
    <dxf>
      <font>
        <condense val="0"/>
        <extend val="0"/>
        <color indexed="10"/>
      </font>
      <fill>
        <patternFill>
          <bgColor indexed="10"/>
        </patternFill>
      </fill>
    </dxf>
    <dxf>
      <font>
        <b/>
        <i val="0"/>
        <condense val="0"/>
        <extend val="0"/>
        <color indexed="9"/>
      </font>
      <fill>
        <patternFill>
          <bgColor indexed="10"/>
        </patternFill>
      </fill>
    </dxf>
    <dxf>
      <font>
        <b val="0"/>
        <i val="0"/>
        <condense val="0"/>
        <extend val="0"/>
      </font>
      <fill>
        <patternFill>
          <bgColor indexed="50"/>
        </patternFill>
      </fill>
    </dxf>
    <dxf>
      <fill>
        <patternFill>
          <bgColor indexed="50"/>
        </patternFill>
      </fill>
    </dxf>
    <dxf>
      <font>
        <b/>
        <i val="0"/>
        <condense val="0"/>
        <extend val="0"/>
      </font>
      <fill>
        <patternFill>
          <bgColor indexed="10"/>
        </patternFill>
      </fill>
    </dxf>
    <dxf>
      <fill>
        <patternFill>
          <bgColor indexed="50"/>
        </patternFill>
      </fill>
    </dxf>
    <dxf>
      <fill>
        <patternFill>
          <bgColor indexed="14"/>
        </patternFill>
      </fill>
    </dxf>
    <dxf>
      <font>
        <condense val="0"/>
        <extend val="0"/>
        <color indexed="9"/>
      </font>
    </dxf>
    <dxf>
      <font>
        <b/>
        <i val="0"/>
        <condense val="0"/>
        <extend val="0"/>
        <color indexed="9"/>
      </font>
      <fill>
        <patternFill>
          <bgColor indexed="10"/>
        </patternFill>
      </fill>
    </dxf>
    <dxf>
      <font>
        <b val="0"/>
        <i val="0"/>
        <condense val="0"/>
        <extend val="0"/>
      </font>
      <fill>
        <patternFill>
          <bgColor indexed="50"/>
        </patternFill>
      </fill>
    </dxf>
    <dxf>
      <font>
        <b val="0"/>
        <i val="0"/>
        <condense val="0"/>
        <extend val="0"/>
      </font>
      <fill>
        <patternFill>
          <bgColor indexed="50"/>
        </patternFill>
      </fill>
    </dxf>
    <dxf>
      <font>
        <condense val="0"/>
        <extend val="0"/>
        <color indexed="10"/>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indexed="10"/>
      </font>
      <fill>
        <patternFill>
          <bgColor indexed="10"/>
        </patternFill>
      </fill>
    </dxf>
    <dxf>
      <font>
        <b/>
        <i val="0"/>
        <condense val="0"/>
        <extend val="0"/>
        <color indexed="9"/>
      </font>
      <fill>
        <patternFill>
          <bgColor indexed="10"/>
        </patternFill>
      </fill>
    </dxf>
    <dxf>
      <font>
        <condense val="0"/>
        <extend val="0"/>
        <color indexed="10"/>
      </font>
      <fill>
        <patternFill>
          <bgColor indexed="10"/>
        </patternFill>
      </fill>
    </dxf>
    <dxf>
      <font>
        <b/>
        <i val="0"/>
        <condense val="0"/>
        <extend val="0"/>
        <color indexed="9"/>
      </font>
      <fill>
        <patternFill>
          <bgColor indexed="10"/>
        </patternFill>
      </fill>
    </dxf>
    <dxf>
      <font>
        <condense val="0"/>
        <extend val="0"/>
        <color indexed="10"/>
      </font>
      <fill>
        <patternFill>
          <bgColor indexed="10"/>
        </patternFill>
      </fill>
    </dxf>
    <dxf>
      <font>
        <b/>
        <i val="0"/>
        <condense val="0"/>
        <extend val="0"/>
        <color indexed="9"/>
      </font>
      <fill>
        <patternFill>
          <bgColor indexed="10"/>
        </patternFill>
      </fill>
    </dxf>
    <dxf>
      <font>
        <condense val="0"/>
        <extend val="0"/>
        <color indexed="10"/>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indexed="10"/>
      </font>
      <fill>
        <patternFill>
          <bgColor indexed="10"/>
        </patternFill>
      </fill>
    </dxf>
    <dxf>
      <font>
        <b/>
        <i val="0"/>
        <condense val="0"/>
        <extend val="0"/>
        <color indexed="9"/>
      </font>
      <fill>
        <patternFill>
          <bgColor indexed="10"/>
        </patternFill>
      </fill>
    </dxf>
    <dxf>
      <font>
        <condense val="0"/>
        <extend val="0"/>
        <color indexed="10"/>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indexed="10"/>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indexed="10"/>
      </font>
      <fill>
        <patternFill>
          <bgColor indexed="10"/>
        </patternFill>
      </fill>
    </dxf>
    <dxf>
      <font>
        <b/>
        <i val="0"/>
        <condense val="0"/>
        <extend val="0"/>
        <color indexed="9"/>
      </font>
      <fill>
        <patternFill>
          <bgColor indexed="10"/>
        </patternFill>
      </fill>
    </dxf>
    <dxf>
      <font>
        <condense val="0"/>
        <extend val="0"/>
        <color indexed="10"/>
      </font>
      <fill>
        <patternFill>
          <bgColor indexed="10"/>
        </patternFill>
      </fill>
    </dxf>
    <dxf>
      <font>
        <b/>
        <i val="0"/>
        <condense val="0"/>
        <extend val="0"/>
        <color indexed="9"/>
      </font>
      <fill>
        <patternFill>
          <bgColor indexed="10"/>
        </patternFill>
      </fill>
    </dxf>
    <dxf>
      <font>
        <condense val="0"/>
        <extend val="0"/>
        <color indexed="10"/>
      </font>
      <fill>
        <patternFill>
          <bgColor indexed="10"/>
        </patternFill>
      </fill>
    </dxf>
    <dxf>
      <font>
        <condense val="0"/>
        <extend val="0"/>
        <color indexed="10"/>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condense val="0"/>
        <extend val="0"/>
        <color indexed="10"/>
      </font>
      <fill>
        <patternFill>
          <bgColor indexed="10"/>
        </patternFill>
      </fill>
    </dxf>
    <dxf>
      <font>
        <b/>
        <i val="0"/>
        <condense val="0"/>
        <extend val="0"/>
        <color indexed="9"/>
      </font>
      <fill>
        <patternFill>
          <bgColor indexed="10"/>
        </patternFill>
      </fill>
    </dxf>
    <dxf>
      <font>
        <condense val="0"/>
        <extend val="0"/>
        <color indexed="10"/>
      </font>
      <fill>
        <patternFill>
          <bgColor indexed="10"/>
        </patternFill>
      </fill>
    </dxf>
    <dxf>
      <font>
        <b/>
        <i val="0"/>
        <condense val="0"/>
        <extend val="0"/>
        <color indexed="9"/>
      </font>
      <fill>
        <patternFill>
          <bgColor indexed="10"/>
        </patternFill>
      </fill>
    </dxf>
    <dxf>
      <font>
        <condense val="0"/>
        <extend val="0"/>
        <color indexed="10"/>
      </font>
      <fill>
        <patternFill>
          <bgColor indexed="10"/>
        </patternFill>
      </fill>
    </dxf>
    <dxf>
      <font>
        <b/>
        <i val="0"/>
        <condense val="0"/>
        <extend val="0"/>
        <color indexed="9"/>
      </font>
      <fill>
        <patternFill>
          <bgColor indexed="10"/>
        </patternFill>
      </fill>
    </dxf>
    <dxf>
      <font>
        <condense val="0"/>
        <extend val="0"/>
        <color indexed="10"/>
      </font>
      <fill>
        <patternFill>
          <bgColor indexed="10"/>
        </patternFill>
      </fill>
    </dxf>
    <dxf>
      <font>
        <b/>
        <i val="0"/>
        <condense val="0"/>
        <extend val="0"/>
        <color indexed="9"/>
      </font>
      <fill>
        <patternFill>
          <bgColor indexed="10"/>
        </patternFill>
      </fill>
    </dxf>
    <dxf>
      <font>
        <condense val="0"/>
        <extend val="0"/>
        <color indexed="10"/>
      </font>
      <fill>
        <patternFill>
          <bgColor indexed="10"/>
        </patternFill>
      </fill>
    </dxf>
    <dxf>
      <fill>
        <patternFill>
          <bgColor indexed="50"/>
        </patternFill>
      </fill>
    </dxf>
    <dxf>
      <fill>
        <patternFill>
          <bgColor indexed="50"/>
        </patternFill>
      </fill>
    </dxf>
    <dxf>
      <fill>
        <patternFill>
          <bgColor indexed="50"/>
        </patternFill>
      </fill>
    </dxf>
    <dxf>
      <fill>
        <patternFill>
          <bgColor indexed="50"/>
        </patternFill>
      </fill>
    </dxf>
    <dxf>
      <font>
        <b/>
        <i val="0"/>
        <condense val="0"/>
        <extend val="0"/>
        <color indexed="9"/>
      </font>
      <fill>
        <patternFill>
          <bgColor indexed="10"/>
        </patternFill>
      </fill>
    </dxf>
    <dxf>
      <font>
        <condense val="0"/>
        <extend val="0"/>
        <color indexed="10"/>
      </font>
      <fill>
        <patternFill>
          <bgColor indexed="10"/>
        </patternFill>
      </fill>
    </dxf>
    <dxf>
      <fill>
        <patternFill>
          <bgColor indexed="50"/>
        </patternFill>
      </fill>
    </dxf>
    <dxf>
      <fill>
        <patternFill>
          <bgColor indexed="50"/>
        </patternFill>
      </fill>
    </dxf>
    <dxf>
      <fill>
        <patternFill>
          <bgColor indexed="50"/>
        </patternFill>
      </fill>
    </dxf>
    <dxf>
      <fill>
        <patternFill>
          <bgColor indexed="50"/>
        </patternFill>
      </fill>
    </dxf>
    <dxf>
      <font>
        <b/>
        <i val="0"/>
        <condense val="0"/>
        <extend val="0"/>
        <color indexed="9"/>
      </font>
      <fill>
        <patternFill>
          <bgColor indexed="10"/>
        </patternFill>
      </fill>
    </dxf>
    <dxf>
      <font>
        <condense val="0"/>
        <extend val="0"/>
        <color indexed="10"/>
      </font>
      <fill>
        <patternFill>
          <bgColor indexed="10"/>
        </patternFill>
      </fill>
    </dxf>
    <dxf>
      <fill>
        <patternFill>
          <bgColor indexed="50"/>
        </patternFill>
      </fill>
    </dxf>
    <dxf>
      <fill>
        <patternFill>
          <bgColor indexed="50"/>
        </patternFill>
      </fill>
    </dxf>
    <dxf>
      <fill>
        <patternFill>
          <bgColor indexed="50"/>
        </patternFill>
      </fill>
    </dxf>
    <dxf>
      <fill>
        <patternFill>
          <bgColor indexed="50"/>
        </patternFill>
      </fill>
    </dxf>
    <dxf>
      <font>
        <b/>
        <i val="0"/>
        <condense val="0"/>
        <extend val="0"/>
        <color indexed="9"/>
      </font>
      <fill>
        <patternFill>
          <bgColor indexed="10"/>
        </patternFill>
      </fill>
    </dxf>
    <dxf>
      <font>
        <condense val="0"/>
        <extend val="0"/>
        <color indexed="10"/>
      </font>
      <fill>
        <patternFill>
          <bgColor indexed="10"/>
        </patternFill>
      </fill>
    </dxf>
    <dxf>
      <fill>
        <patternFill>
          <bgColor indexed="50"/>
        </patternFill>
      </fill>
    </dxf>
    <dxf>
      <fill>
        <patternFill>
          <bgColor indexed="50"/>
        </patternFill>
      </fill>
    </dxf>
    <dxf>
      <fill>
        <patternFill>
          <bgColor indexed="50"/>
        </patternFill>
      </fill>
    </dxf>
    <dxf>
      <fill>
        <patternFill>
          <bgColor indexed="50"/>
        </patternFill>
      </fill>
    </dxf>
    <dxf>
      <font>
        <b/>
        <i val="0"/>
        <condense val="0"/>
        <extend val="0"/>
        <color indexed="9"/>
      </font>
      <fill>
        <patternFill>
          <bgColor indexed="10"/>
        </patternFill>
      </fill>
    </dxf>
    <dxf>
      <font>
        <condense val="0"/>
        <extend val="0"/>
        <color indexed="10"/>
      </font>
      <fill>
        <patternFill>
          <bgColor indexed="10"/>
        </patternFill>
      </fill>
    </dxf>
    <dxf>
      <fill>
        <patternFill>
          <bgColor indexed="50"/>
        </patternFill>
      </fill>
    </dxf>
    <dxf>
      <fill>
        <patternFill>
          <bgColor indexed="50"/>
        </patternFill>
      </fill>
    </dxf>
    <dxf>
      <fill>
        <patternFill>
          <bgColor indexed="50"/>
        </patternFill>
      </fill>
    </dxf>
    <dxf>
      <fill>
        <patternFill>
          <bgColor indexed="50"/>
        </patternFill>
      </fill>
    </dxf>
    <dxf>
      <font>
        <b/>
        <i val="0"/>
        <condense val="0"/>
        <extend val="0"/>
        <color indexed="9"/>
      </font>
      <fill>
        <patternFill>
          <bgColor indexed="10"/>
        </patternFill>
      </fill>
    </dxf>
    <dxf>
      <font>
        <condense val="0"/>
        <extend val="0"/>
        <color indexed="10"/>
      </font>
      <fill>
        <patternFill>
          <bgColor indexed="10"/>
        </patternFill>
      </fill>
    </dxf>
    <dxf>
      <fill>
        <patternFill>
          <bgColor indexed="50"/>
        </patternFill>
      </fill>
    </dxf>
    <dxf>
      <fill>
        <patternFill>
          <bgColor indexed="50"/>
        </patternFill>
      </fill>
    </dxf>
    <dxf>
      <fill>
        <patternFill>
          <bgColor indexed="50"/>
        </patternFill>
      </fill>
    </dxf>
    <dxf>
      <fill>
        <patternFill>
          <bgColor indexed="50"/>
        </patternFill>
      </fill>
    </dxf>
    <dxf>
      <font>
        <b/>
        <i val="0"/>
        <condense val="0"/>
        <extend val="0"/>
        <color indexed="9"/>
      </font>
      <fill>
        <patternFill>
          <bgColor indexed="10"/>
        </patternFill>
      </fill>
    </dxf>
    <dxf>
      <font>
        <condense val="0"/>
        <extend val="0"/>
        <color indexed="10"/>
      </font>
      <fill>
        <patternFill>
          <bgColor indexed="10"/>
        </patternFill>
      </fill>
    </dxf>
    <dxf>
      <fill>
        <patternFill>
          <bgColor indexed="50"/>
        </patternFill>
      </fill>
    </dxf>
    <dxf>
      <fill>
        <patternFill>
          <bgColor indexed="50"/>
        </patternFill>
      </fill>
    </dxf>
    <dxf>
      <fill>
        <patternFill>
          <bgColor indexed="50"/>
        </patternFill>
      </fill>
    </dxf>
    <dxf>
      <fill>
        <patternFill>
          <bgColor indexed="50"/>
        </patternFill>
      </fill>
    </dxf>
    <dxf>
      <font>
        <b/>
        <i val="0"/>
        <condense val="0"/>
        <extend val="0"/>
        <color indexed="9"/>
      </font>
      <fill>
        <patternFill>
          <bgColor indexed="10"/>
        </patternFill>
      </fill>
    </dxf>
    <dxf>
      <font>
        <condense val="0"/>
        <extend val="0"/>
        <color indexed="10"/>
      </font>
      <fill>
        <patternFill>
          <bgColor indexed="10"/>
        </patternFill>
      </fill>
    </dxf>
    <dxf>
      <fill>
        <patternFill>
          <bgColor indexed="50"/>
        </patternFill>
      </fill>
    </dxf>
    <dxf>
      <fill>
        <patternFill>
          <bgColor indexed="50"/>
        </patternFill>
      </fill>
    </dxf>
    <dxf>
      <fill>
        <patternFill>
          <bgColor indexed="50"/>
        </patternFill>
      </fill>
    </dxf>
    <dxf>
      <fill>
        <patternFill>
          <bgColor indexed="50"/>
        </patternFill>
      </fill>
    </dxf>
    <dxf>
      <font>
        <b/>
        <i val="0"/>
        <condense val="0"/>
        <extend val="0"/>
        <color indexed="9"/>
      </font>
      <fill>
        <patternFill>
          <bgColor indexed="10"/>
        </patternFill>
      </fill>
    </dxf>
    <dxf>
      <font>
        <condense val="0"/>
        <extend val="0"/>
        <color indexed="10"/>
      </font>
      <fill>
        <patternFill>
          <bgColor indexed="10"/>
        </patternFill>
      </fill>
    </dxf>
    <dxf>
      <fill>
        <patternFill>
          <bgColor indexed="50"/>
        </patternFill>
      </fill>
    </dxf>
    <dxf>
      <fill>
        <patternFill>
          <bgColor indexed="50"/>
        </patternFill>
      </fill>
    </dxf>
    <dxf>
      <fill>
        <patternFill>
          <bgColor indexed="50"/>
        </patternFill>
      </fill>
    </dxf>
    <dxf>
      <fill>
        <patternFill>
          <bgColor indexed="50"/>
        </patternFill>
      </fill>
    </dxf>
    <dxf>
      <font>
        <condense val="0"/>
        <extend val="0"/>
        <color indexed="12"/>
      </font>
      <fill>
        <patternFill>
          <bgColor indexed="13"/>
        </patternFill>
      </fill>
      <border>
        <left style="thin">
          <color indexed="64"/>
        </left>
        <top style="thin">
          <color indexed="64"/>
        </top>
        <bottom style="thin">
          <color indexed="64"/>
        </bottom>
      </border>
    </dxf>
    <dxf>
      <font>
        <condense val="0"/>
        <extend val="0"/>
        <color indexed="9"/>
      </font>
      <fill>
        <patternFill>
          <bgColor indexed="10"/>
        </patternFill>
      </fill>
      <border>
        <right style="thin">
          <color indexed="64"/>
        </right>
        <top style="thin">
          <color indexed="64"/>
        </top>
        <bottom style="thin">
          <color indexed="64"/>
        </bottom>
      </border>
    </dxf>
    <dxf>
      <font>
        <b/>
        <i val="0"/>
        <condense val="0"/>
        <extend val="0"/>
        <color indexed="9"/>
      </font>
      <fill>
        <patternFill>
          <bgColor indexed="10"/>
        </patternFill>
      </fill>
      <border>
        <top style="thin">
          <color indexed="64"/>
        </top>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Drop" dropLines="12" dropStyle="combo" dx="16" fmlaLink="$D$20" fmlaRange="getweight" sel="18" val="13"/>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Drop" dropStyle="combo" dx="16" fmlaLink="$A$17" fmlaRange="data_slings!$C$81:$C$97" sel="8" val="7"/>
</file>

<file path=xl/ctrlProps/ctrlProp101.xml><?xml version="1.0" encoding="utf-8"?>
<formControlPr xmlns="http://schemas.microsoft.com/office/spreadsheetml/2009/9/main" objectType="Radio" checked="Checked" firstButton="1" fmlaLink="$A$5" lockText="1"/>
</file>

<file path=xl/ctrlProps/ctrlProp102.xml><?xml version="1.0" encoding="utf-8"?>
<formControlPr xmlns="http://schemas.microsoft.com/office/spreadsheetml/2009/9/main" objectType="Radio" lockText="1"/>
</file>

<file path=xl/ctrlProps/ctrlProp103.xml><?xml version="1.0" encoding="utf-8"?>
<formControlPr xmlns="http://schemas.microsoft.com/office/spreadsheetml/2009/9/main" objectType="GBox"/>
</file>

<file path=xl/ctrlProps/ctrlProp104.xml><?xml version="1.0" encoding="utf-8"?>
<formControlPr xmlns="http://schemas.microsoft.com/office/spreadsheetml/2009/9/main" objectType="Drop" dropStyle="combo" dx="16" fmlaLink="$A$11" fmlaRange="data_chains!$C$2:$C$19" noThreeD="1" sel="5" val="3"/>
</file>

<file path=xl/ctrlProps/ctrlProp105.xml><?xml version="1.0" encoding="utf-8"?>
<formControlPr xmlns="http://schemas.microsoft.com/office/spreadsheetml/2009/9/main" objectType="Radio" checked="Checked" firstButton="1" fmlaLink="$A$5" lockText="1"/>
</file>

<file path=xl/ctrlProps/ctrlProp106.xml><?xml version="1.0" encoding="utf-8"?>
<formControlPr xmlns="http://schemas.microsoft.com/office/spreadsheetml/2009/9/main" objectType="Radio" lockText="1"/>
</file>

<file path=xl/ctrlProps/ctrlProp107.xml><?xml version="1.0" encoding="utf-8"?>
<formControlPr xmlns="http://schemas.microsoft.com/office/spreadsheetml/2009/9/main" objectType="GBox"/>
</file>

<file path=xl/ctrlProps/ctrlProp108.xml><?xml version="1.0" encoding="utf-8"?>
<formControlPr xmlns="http://schemas.microsoft.com/office/spreadsheetml/2009/9/main" objectType="Drop" dropStyle="combo" dx="16" fmlaLink="$A$14" fmlaRange="data_slings!$D$100:$D$117" noThreeD="1" sel="12" val="10"/>
</file>

<file path=xl/ctrlProps/ctrlProp109.xml><?xml version="1.0" encoding="utf-8"?>
<formControlPr xmlns="http://schemas.microsoft.com/office/spreadsheetml/2009/9/main" objectType="Radio" checked="Checked" firstButton="1" fmlaLink="$A$5" lockText="1"/>
</file>

<file path=xl/ctrlProps/ctrlProp11.xml><?xml version="1.0" encoding="utf-8"?>
<formControlPr xmlns="http://schemas.microsoft.com/office/spreadsheetml/2009/9/main" objectType="GBox"/>
</file>

<file path=xl/ctrlProps/ctrlProp110.xml><?xml version="1.0" encoding="utf-8"?>
<formControlPr xmlns="http://schemas.microsoft.com/office/spreadsheetml/2009/9/main" objectType="Radio" lockText="1"/>
</file>

<file path=xl/ctrlProps/ctrlProp111.xml><?xml version="1.0" encoding="utf-8"?>
<formControlPr xmlns="http://schemas.microsoft.com/office/spreadsheetml/2009/9/main" objectType="GBox"/>
</file>

<file path=xl/ctrlProps/ctrlProp112.xml><?xml version="1.0" encoding="utf-8"?>
<formControlPr xmlns="http://schemas.microsoft.com/office/spreadsheetml/2009/9/main" objectType="Drop" dropStyle="combo" dx="16" fmlaLink="$B$26" fmlaRange="data_eyebolts!$H$34:$H$56" sel="8" val="6"/>
</file>

<file path=xl/ctrlProps/ctrlProp113.xml><?xml version="1.0" encoding="utf-8"?>
<formControlPr xmlns="http://schemas.microsoft.com/office/spreadsheetml/2009/9/main" objectType="Drop" dropLines="7" dropStyle="combo" dx="16" fmlaLink="$J$26" fmlaRange="data_eyebolts!$H$57:$H$63" sel="3" val="0"/>
</file>

<file path=xl/ctrlProps/ctrlProp114.xml><?xml version="1.0" encoding="utf-8"?>
<formControlPr xmlns="http://schemas.microsoft.com/office/spreadsheetml/2009/9/main" objectType="Drop" dropStyle="combo" dx="16" fmlaLink="$B$22" fmlaRange="data_eyebolts!$H$2:$H$13" sel="4" val="3"/>
</file>

<file path=xl/ctrlProps/ctrlProp115.xml><?xml version="1.0" encoding="utf-8"?>
<formControlPr xmlns="http://schemas.microsoft.com/office/spreadsheetml/2009/9/main" objectType="Drop" dropStyle="combo" dx="16" fmlaLink="$J$22" fmlaRange="data_eyebolts!$H$15:$H$33" sel="4"/>
</file>

<file path=xl/ctrlProps/ctrlProp116.xml><?xml version="1.0" encoding="utf-8"?>
<formControlPr xmlns="http://schemas.microsoft.com/office/spreadsheetml/2009/9/main" objectType="Drop" dropLines="12" dropStyle="combo" dx="16" fmlaLink="$C$19" fmlaRange="data_shackle!$D$4:$D$61" sel="49" val="46"/>
</file>

<file path=xl/ctrlProps/ctrlProp117.xml><?xml version="1.0" encoding="utf-8"?>
<formControlPr xmlns="http://schemas.microsoft.com/office/spreadsheetml/2009/9/main" objectType="Drop" dropLines="12" dropStyle="combo" dx="16" fmlaLink="$C$19" fmlaRange="data_shackle!$D$23:$D$33" val="0"/>
</file>

<file path=xl/ctrlProps/ctrlProp118.xml><?xml version="1.0" encoding="utf-8"?>
<formControlPr xmlns="http://schemas.microsoft.com/office/spreadsheetml/2009/9/main" objectType="Drop" dropLines="12" dropStyle="combo" dx="16" fmlaLink="$C$19" fmlaRange="data_shackle!$D$63:$D$83" sel="2" val="0"/>
</file>

<file path=xl/ctrlProps/ctrlProp12.xml><?xml version="1.0" encoding="utf-8"?>
<formControlPr xmlns="http://schemas.microsoft.com/office/spreadsheetml/2009/9/main" objectType="Radio" checked="Checked" firstButton="1" fmlaLink="$E$1" lockText="1"/>
</file>

<file path=xl/ctrlProps/ctrlProp13.xml><?xml version="1.0" encoding="utf-8"?>
<formControlPr xmlns="http://schemas.microsoft.com/office/spreadsheetml/2009/9/main" objectType="Radio" lockText="1"/>
</file>

<file path=xl/ctrlProps/ctrlProp14.xml><?xml version="1.0" encoding="utf-8"?>
<formControlPr xmlns="http://schemas.microsoft.com/office/spreadsheetml/2009/9/main" objectType="GBox"/>
</file>

<file path=xl/ctrlProps/ctrlProp15.xml><?xml version="1.0" encoding="utf-8"?>
<formControlPr xmlns="http://schemas.microsoft.com/office/spreadsheetml/2009/9/main" objectType="Drop" dropLines="12" dropStyle="combo" dx="16" fmlaLink="$E$20" fmlaRange="getweight" sel="18" val="13"/>
</file>

<file path=xl/ctrlProps/ctrlProp16.xml><?xml version="1.0" encoding="utf-8"?>
<formControlPr xmlns="http://schemas.microsoft.com/office/spreadsheetml/2009/9/main" objectType="Radio" checked="Checked" firstButton="1" fmlaLink="$F$20" lockText="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GBox"/>
</file>

<file path=xl/ctrlProps/ctrlProp19.xml><?xml version="1.0" encoding="utf-8"?>
<formControlPr xmlns="http://schemas.microsoft.com/office/spreadsheetml/2009/9/main" objectType="Radio" checked="Checked" firstButton="1" fmlaLink="$F$1" lockText="1"/>
</file>

<file path=xl/ctrlProps/ctrlProp2.xml><?xml version="1.0" encoding="utf-8"?>
<formControlPr xmlns="http://schemas.microsoft.com/office/spreadsheetml/2009/9/main" objectType="Radio" checked="Checked" firstButton="1" fmlaLink="$E$20" lockText="1"/>
</file>

<file path=xl/ctrlProps/ctrlProp20.xml><?xml version="1.0" encoding="utf-8"?>
<formControlPr xmlns="http://schemas.microsoft.com/office/spreadsheetml/2009/9/main" objectType="Radio" lockText="1"/>
</file>

<file path=xl/ctrlProps/ctrlProp21.xml><?xml version="1.0" encoding="utf-8"?>
<formControlPr xmlns="http://schemas.microsoft.com/office/spreadsheetml/2009/9/main" objectType="GBox"/>
</file>

<file path=xl/ctrlProps/ctrlProp22.xml><?xml version="1.0" encoding="utf-8"?>
<formControlPr xmlns="http://schemas.microsoft.com/office/spreadsheetml/2009/9/main" objectType="Drop" dropLines="12" dropStyle="combo" dx="16" fmlaLink="$E$20" fmlaRange="getweight" sel="8" val="2"/>
</file>

<file path=xl/ctrlProps/ctrlProp23.xml><?xml version="1.0" encoding="utf-8"?>
<formControlPr xmlns="http://schemas.microsoft.com/office/spreadsheetml/2009/9/main" objectType="Radio" checked="Checked" firstButton="1" fmlaLink="$F$20" lockText="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GBox"/>
</file>

<file path=xl/ctrlProps/ctrlProp26.xml><?xml version="1.0" encoding="utf-8"?>
<formControlPr xmlns="http://schemas.microsoft.com/office/spreadsheetml/2009/9/main" objectType="Radio" checked="Checked" firstButton="1" fmlaLink="$F$1" lockText="1"/>
</file>

<file path=xl/ctrlProps/ctrlProp27.xml><?xml version="1.0" encoding="utf-8"?>
<formControlPr xmlns="http://schemas.microsoft.com/office/spreadsheetml/2009/9/main" objectType="Radio" lockText="1"/>
</file>

<file path=xl/ctrlProps/ctrlProp28.xml><?xml version="1.0" encoding="utf-8"?>
<formControlPr xmlns="http://schemas.microsoft.com/office/spreadsheetml/2009/9/main" objectType="GBox"/>
</file>

<file path=xl/ctrlProps/ctrlProp29.xml><?xml version="1.0" encoding="utf-8"?>
<formControlPr xmlns="http://schemas.microsoft.com/office/spreadsheetml/2009/9/main" objectType="Drop" dropLines="12" dropStyle="combo" dx="16" fmlaLink="$D$20" fmlaRange="getweight" val="0"/>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checked="Checked" firstButton="1" fmlaLink="$E$20" lockText="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GBox"/>
</file>

<file path=xl/ctrlProps/ctrlProp33.xml><?xml version="1.0" encoding="utf-8"?>
<formControlPr xmlns="http://schemas.microsoft.com/office/spreadsheetml/2009/9/main" objectType="Radio" checked="Checked" firstButton="1" fmlaLink="$E$1" lockText="1"/>
</file>

<file path=xl/ctrlProps/ctrlProp34.xml><?xml version="1.0" encoding="utf-8"?>
<formControlPr xmlns="http://schemas.microsoft.com/office/spreadsheetml/2009/9/main" objectType="Radio" lockText="1"/>
</file>

<file path=xl/ctrlProps/ctrlProp35.xml><?xml version="1.0" encoding="utf-8"?>
<formControlPr xmlns="http://schemas.microsoft.com/office/spreadsheetml/2009/9/main" objectType="GBox"/>
</file>

<file path=xl/ctrlProps/ctrlProp36.xml><?xml version="1.0" encoding="utf-8"?>
<formControlPr xmlns="http://schemas.microsoft.com/office/spreadsheetml/2009/9/main" objectType="Drop" dropLines="12" dropStyle="combo" dx="16" fmlaLink="$D$20" fmlaRange="getweight" sel="7"/>
</file>

<file path=xl/ctrlProps/ctrlProp37.xml><?xml version="1.0" encoding="utf-8"?>
<formControlPr xmlns="http://schemas.microsoft.com/office/spreadsheetml/2009/9/main" objectType="Radio" checked="Checked" firstButton="1" fmlaLink="$E$20" lockText="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GBox"/>
</file>

<file path=xl/ctrlProps/ctrlProp4.xml><?xml version="1.0" encoding="utf-8"?>
<formControlPr xmlns="http://schemas.microsoft.com/office/spreadsheetml/2009/9/main" objectType="GBox"/>
</file>

<file path=xl/ctrlProps/ctrlProp40.xml><?xml version="1.0" encoding="utf-8"?>
<formControlPr xmlns="http://schemas.microsoft.com/office/spreadsheetml/2009/9/main" objectType="Radio" checked="Checked" firstButton="1" fmlaLink="$E$1" lockText="1"/>
</file>

<file path=xl/ctrlProps/ctrlProp41.xml><?xml version="1.0" encoding="utf-8"?>
<formControlPr xmlns="http://schemas.microsoft.com/office/spreadsheetml/2009/9/main" objectType="Radio" lockText="1"/>
</file>

<file path=xl/ctrlProps/ctrlProp42.xml><?xml version="1.0" encoding="utf-8"?>
<formControlPr xmlns="http://schemas.microsoft.com/office/spreadsheetml/2009/9/main" objectType="GBox"/>
</file>

<file path=xl/ctrlProps/ctrlProp43.xml><?xml version="1.0" encoding="utf-8"?>
<formControlPr xmlns="http://schemas.microsoft.com/office/spreadsheetml/2009/9/main" objectType="Drop" dropLines="12" dropStyle="combo" dx="16" fmlaLink="$D$20" fmlaRange="getweight" sel="18" val="13"/>
</file>

<file path=xl/ctrlProps/ctrlProp44.xml><?xml version="1.0" encoding="utf-8"?>
<formControlPr xmlns="http://schemas.microsoft.com/office/spreadsheetml/2009/9/main" objectType="Radio" checked="Checked" firstButton="1" fmlaLink="$E$20" lockText="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GBox"/>
</file>

<file path=xl/ctrlProps/ctrlProp47.xml><?xml version="1.0" encoding="utf-8"?>
<formControlPr xmlns="http://schemas.microsoft.com/office/spreadsheetml/2009/9/main" objectType="Radio" checked="Checked" firstButton="1" fmlaLink="$E$1" lockText="1"/>
</file>

<file path=xl/ctrlProps/ctrlProp48.xml><?xml version="1.0" encoding="utf-8"?>
<formControlPr xmlns="http://schemas.microsoft.com/office/spreadsheetml/2009/9/main" objectType="Radio" lockText="1"/>
</file>

<file path=xl/ctrlProps/ctrlProp49.xml><?xml version="1.0" encoding="utf-8"?>
<formControlPr xmlns="http://schemas.microsoft.com/office/spreadsheetml/2009/9/main" objectType="GBox"/>
</file>

<file path=xl/ctrlProps/ctrlProp5.xml><?xml version="1.0" encoding="utf-8"?>
<formControlPr xmlns="http://schemas.microsoft.com/office/spreadsheetml/2009/9/main" objectType="Radio" checked="Checked" firstButton="1" fmlaLink="$E$1" lockText="1"/>
</file>

<file path=xl/ctrlProps/ctrlProp50.xml><?xml version="1.0" encoding="utf-8"?>
<formControlPr xmlns="http://schemas.microsoft.com/office/spreadsheetml/2009/9/main" objectType="Drop" dropLines="12" dropStyle="combo" dx="16" fmlaLink="$D$20" fmlaRange="getweight" sel="18" val="13"/>
</file>

<file path=xl/ctrlProps/ctrlProp51.xml><?xml version="1.0" encoding="utf-8"?>
<formControlPr xmlns="http://schemas.microsoft.com/office/spreadsheetml/2009/9/main" objectType="Radio" checked="Checked" firstButton="1" fmlaLink="$E$20" lockText="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GBox"/>
</file>

<file path=xl/ctrlProps/ctrlProp54.xml><?xml version="1.0" encoding="utf-8"?>
<formControlPr xmlns="http://schemas.microsoft.com/office/spreadsheetml/2009/9/main" objectType="Radio" checked="Checked" firstButton="1" fmlaLink="$E$1" lockText="1"/>
</file>

<file path=xl/ctrlProps/ctrlProp55.xml><?xml version="1.0" encoding="utf-8"?>
<formControlPr xmlns="http://schemas.microsoft.com/office/spreadsheetml/2009/9/main" objectType="Radio" lockText="1"/>
</file>

<file path=xl/ctrlProps/ctrlProp56.xml><?xml version="1.0" encoding="utf-8"?>
<formControlPr xmlns="http://schemas.microsoft.com/office/spreadsheetml/2009/9/main" objectType="GBox"/>
</file>

<file path=xl/ctrlProps/ctrlProp57.xml><?xml version="1.0" encoding="utf-8"?>
<formControlPr xmlns="http://schemas.microsoft.com/office/spreadsheetml/2009/9/main" objectType="Drop" dropLines="12" dropStyle="combo" dx="16" fmlaLink="$D$20" fmlaRange="getweight" sel="2" val="0"/>
</file>

<file path=xl/ctrlProps/ctrlProp58.xml><?xml version="1.0" encoding="utf-8"?>
<formControlPr xmlns="http://schemas.microsoft.com/office/spreadsheetml/2009/9/main" objectType="Radio" checked="Checked" firstButton="1" fmlaLink="$E$20" lockText="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file>

<file path=xl/ctrlProps/ctrlProp60.xml><?xml version="1.0" encoding="utf-8"?>
<formControlPr xmlns="http://schemas.microsoft.com/office/spreadsheetml/2009/9/main" objectType="GBox"/>
</file>

<file path=xl/ctrlProps/ctrlProp61.xml><?xml version="1.0" encoding="utf-8"?>
<formControlPr xmlns="http://schemas.microsoft.com/office/spreadsheetml/2009/9/main" objectType="Radio" checked="Checked" firstButton="1" fmlaLink="$E$1" lockText="1"/>
</file>

<file path=xl/ctrlProps/ctrlProp62.xml><?xml version="1.0" encoding="utf-8"?>
<formControlPr xmlns="http://schemas.microsoft.com/office/spreadsheetml/2009/9/main" objectType="Radio" lockText="1"/>
</file>

<file path=xl/ctrlProps/ctrlProp63.xml><?xml version="1.0" encoding="utf-8"?>
<formControlPr xmlns="http://schemas.microsoft.com/office/spreadsheetml/2009/9/main" objectType="GBox"/>
</file>

<file path=xl/ctrlProps/ctrlProp64.xml><?xml version="1.0" encoding="utf-8"?>
<formControlPr xmlns="http://schemas.microsoft.com/office/spreadsheetml/2009/9/main" objectType="Drop" dropStyle="combo" dx="16" fmlaLink="$D$22" fmlaRange="Weights!$C$40:$C$49" sel="2"/>
</file>

<file path=xl/ctrlProps/ctrlProp65.xml><?xml version="1.0" encoding="utf-8"?>
<formControlPr xmlns="http://schemas.microsoft.com/office/spreadsheetml/2009/9/main" objectType="Drop" dropStyle="combo" dx="16" fmlaLink="$J$34" fmlaRange="Weights!$C$40:$C$49" sel="2" val="0"/>
</file>

<file path=xl/ctrlProps/ctrlProp66.xml><?xml version="1.0" encoding="utf-8"?>
<formControlPr xmlns="http://schemas.microsoft.com/office/spreadsheetml/2009/9/main" objectType="Drop" dropStyle="combo" dx="16" fmlaLink="$G$5" fmlaRange="$M$2:$O$175" noThreeD="1" sel="86" val="82"/>
</file>

<file path=xl/ctrlProps/ctrlProp67.xml><?xml version="1.0" encoding="utf-8"?>
<formControlPr xmlns="http://schemas.microsoft.com/office/spreadsheetml/2009/9/main" objectType="Drop" dropStyle="combo" dx="16" fmlaLink="$C$8" fmlaRange="$B$52:$B$82" sel="3" val="2"/>
</file>

<file path=xl/ctrlProps/ctrlProp68.xml><?xml version="1.0" encoding="utf-8"?>
<formControlPr xmlns="http://schemas.microsoft.com/office/spreadsheetml/2009/9/main" objectType="Drop" dropStyle="combo" dx="16" fmlaLink="$C$8" fmlaRange="$B$52:$B$211" sel="7" val="3"/>
</file>

<file path=xl/ctrlProps/ctrlProp69.xml><?xml version="1.0" encoding="utf-8"?>
<formControlPr xmlns="http://schemas.microsoft.com/office/spreadsheetml/2009/9/main" objectType="Drop" dropStyle="combo" dx="16" fmlaLink="$C$8" fmlaRange="$B$52:$B$80" sel="15" val="12"/>
</file>

<file path=xl/ctrlProps/ctrlProp7.xml><?xml version="1.0" encoding="utf-8"?>
<formControlPr xmlns="http://schemas.microsoft.com/office/spreadsheetml/2009/9/main" objectType="GBox"/>
</file>

<file path=xl/ctrlProps/ctrlProp70.xml><?xml version="1.0" encoding="utf-8"?>
<formControlPr xmlns="http://schemas.microsoft.com/office/spreadsheetml/2009/9/main" objectType="Drop" dropStyle="combo" dx="16" fmlaLink="$C$8" fmlaRange="$B$52:$B$182" sel="8" val="6"/>
</file>

<file path=xl/ctrlProps/ctrlProp71.xml><?xml version="1.0" encoding="utf-8"?>
<formControlPr xmlns="http://schemas.microsoft.com/office/spreadsheetml/2009/9/main" objectType="Drop" dropStyle="combo" dx="16" fmlaLink="$F$15" fmlaRange="Weights!$C$40:$E$49" sel="2"/>
</file>

<file path=xl/ctrlProps/ctrlProp72.xml><?xml version="1.0" encoding="utf-8"?>
<formControlPr xmlns="http://schemas.microsoft.com/office/spreadsheetml/2009/9/main" objectType="Drop" dropStyle="combo" dx="16" fmlaLink="$D$19" fmlaRange="datapage!$B$6:$B$23" sel="8" val="2"/>
</file>

<file path=xl/ctrlProps/ctrlProp73.xml><?xml version="1.0" encoding="utf-8"?>
<formControlPr xmlns="http://schemas.microsoft.com/office/spreadsheetml/2009/9/main" objectType="Drop" dropStyle="combo" dx="16" fmlaLink="$H$21" fmlaRange="data_shackle!$D$4:$D$103" sel="40" val="38"/>
</file>

<file path=xl/ctrlProps/ctrlProp74.xml><?xml version="1.0" encoding="utf-8"?>
<formControlPr xmlns="http://schemas.microsoft.com/office/spreadsheetml/2009/9/main" objectType="Drop" dropStyle="combo" dx="16" fmlaLink="$H$19" fmlaRange="data_shackle!$D$4:$D$103" sel="42" val="41"/>
</file>

<file path=xl/ctrlProps/ctrlProp75.xml><?xml version="1.0" encoding="utf-8"?>
<formControlPr xmlns="http://schemas.microsoft.com/office/spreadsheetml/2009/9/main" objectType="Drop" dropLines="12" dropStyle="combo" dx="16" fmlaLink="$H$20" fmlaRange="data_sling_2!$C$2:$C$85" sel="40" val="37"/>
</file>

<file path=xl/ctrlProps/ctrlProp76.xml><?xml version="1.0" encoding="utf-8"?>
<formControlPr xmlns="http://schemas.microsoft.com/office/spreadsheetml/2009/9/main" objectType="Radio" checked="Checked" firstButton="1" fmlaLink="$B$1" lockText="1"/>
</file>

<file path=xl/ctrlProps/ctrlProp77.xml><?xml version="1.0" encoding="utf-8"?>
<formControlPr xmlns="http://schemas.microsoft.com/office/spreadsheetml/2009/9/main" objectType="Radio" lockText="1"/>
</file>

<file path=xl/ctrlProps/ctrlProp78.xml><?xml version="1.0" encoding="utf-8"?>
<formControlPr xmlns="http://schemas.microsoft.com/office/spreadsheetml/2009/9/main" objectType="GBox"/>
</file>

<file path=xl/ctrlProps/ctrlProp79.xml><?xml version="1.0" encoding="utf-8"?>
<formControlPr xmlns="http://schemas.microsoft.com/office/spreadsheetml/2009/9/main" objectType="Radio" checked="Checked" firstButton="1" fmlaLink="$E$1"/>
</file>

<file path=xl/ctrlProps/ctrlProp8.xml><?xml version="1.0" encoding="utf-8"?>
<formControlPr xmlns="http://schemas.microsoft.com/office/spreadsheetml/2009/9/main" objectType="Drop" dropLines="12" dropStyle="combo" dx="16" fmlaLink="$D$20" fmlaRange="getweight" sel="8" val="6"/>
</file>

<file path=xl/ctrlProps/ctrlProp80.xml><?xml version="1.0" encoding="utf-8"?>
<formControlPr xmlns="http://schemas.microsoft.com/office/spreadsheetml/2009/9/main" objectType="Radio"/>
</file>

<file path=xl/ctrlProps/ctrlProp81.xml><?xml version="1.0" encoding="utf-8"?>
<formControlPr xmlns="http://schemas.microsoft.com/office/spreadsheetml/2009/9/main" objectType="GBox"/>
</file>

<file path=xl/ctrlProps/ctrlProp82.xml><?xml version="1.0" encoding="utf-8"?>
<formControlPr xmlns="http://schemas.microsoft.com/office/spreadsheetml/2009/9/main" objectType="Radio" checked="Checked" firstButton="1" fmlaLink="$E$1"/>
</file>

<file path=xl/ctrlProps/ctrlProp83.xml><?xml version="1.0" encoding="utf-8"?>
<formControlPr xmlns="http://schemas.microsoft.com/office/spreadsheetml/2009/9/main" objectType="Radio"/>
</file>

<file path=xl/ctrlProps/ctrlProp84.xml><?xml version="1.0" encoding="utf-8"?>
<formControlPr xmlns="http://schemas.microsoft.com/office/spreadsheetml/2009/9/main" objectType="GBox"/>
</file>

<file path=xl/ctrlProps/ctrlProp85.xml><?xml version="1.0" encoding="utf-8"?>
<formControlPr xmlns="http://schemas.microsoft.com/office/spreadsheetml/2009/9/main" objectType="Radio" checked="Checked" firstButton="1" fmlaLink="$E$1"/>
</file>

<file path=xl/ctrlProps/ctrlProp86.xml><?xml version="1.0" encoding="utf-8"?>
<formControlPr xmlns="http://schemas.microsoft.com/office/spreadsheetml/2009/9/main" objectType="Radio"/>
</file>

<file path=xl/ctrlProps/ctrlProp87.xml><?xml version="1.0" encoding="utf-8"?>
<formControlPr xmlns="http://schemas.microsoft.com/office/spreadsheetml/2009/9/main" objectType="GBox"/>
</file>

<file path=xl/ctrlProps/ctrlProp88.xml><?xml version="1.0" encoding="utf-8"?>
<formControlPr xmlns="http://schemas.microsoft.com/office/spreadsheetml/2009/9/main" objectType="Drop" dropLines="5" dropStyle="combo" dx="16" fmlaLink="$F$19" fmlaRange="$F$13:$F$17" val="0"/>
</file>

<file path=xl/ctrlProps/ctrlProp89.xml><?xml version="1.0" encoding="utf-8"?>
<formControlPr xmlns="http://schemas.microsoft.com/office/spreadsheetml/2009/9/main" objectType="Drop" dropLines="12" dropStyle="combo" dx="16" fmlaLink="$C$4" fmlaRange="data_slings!$J$24:$J$97" sel="13" val="11"/>
</file>

<file path=xl/ctrlProps/ctrlProp9.xml><?xml version="1.0" encoding="utf-8"?>
<formControlPr xmlns="http://schemas.microsoft.com/office/spreadsheetml/2009/9/main" objectType="Radio" checked="Checked" firstButton="1" fmlaLink="$E$20" lockText="1"/>
</file>

<file path=xl/ctrlProps/ctrlProp90.xml><?xml version="1.0" encoding="utf-8"?>
<formControlPr xmlns="http://schemas.microsoft.com/office/spreadsheetml/2009/9/main" objectType="Drop" dropLines="5" dropStyle="combo" dx="16" fmlaLink="$E$7" fmlaRange="$I$6:$I$10" sel="4" val="0"/>
</file>

<file path=xl/ctrlProps/ctrlProp91.xml><?xml version="1.0" encoding="utf-8"?>
<formControlPr xmlns="http://schemas.microsoft.com/office/spreadsheetml/2009/9/main" objectType="Drop" dropLines="12" dropStyle="combo" dx="16" fmlaLink="$C$10" fmlaRange="data_slings!$J$24:$J$97" sel="67" val="62"/>
</file>

<file path=xl/ctrlProps/ctrlProp92.xml><?xml version="1.0" encoding="utf-8"?>
<formControlPr xmlns="http://schemas.microsoft.com/office/spreadsheetml/2009/9/main" objectType="Radio" checked="Checked" firstButton="1" fmlaLink="$F$1" lockText="1"/>
</file>

<file path=xl/ctrlProps/ctrlProp93.xml><?xml version="1.0" encoding="utf-8"?>
<formControlPr xmlns="http://schemas.microsoft.com/office/spreadsheetml/2009/9/main" objectType="Radio" lockText="1"/>
</file>

<file path=xl/ctrlProps/ctrlProp94.xml><?xml version="1.0" encoding="utf-8"?>
<formControlPr xmlns="http://schemas.microsoft.com/office/spreadsheetml/2009/9/main" objectType="GBox"/>
</file>

<file path=xl/ctrlProps/ctrlProp95.xml><?xml version="1.0" encoding="utf-8"?>
<formControlPr xmlns="http://schemas.microsoft.com/office/spreadsheetml/2009/9/main" objectType="Drop" dropStyle="combo" dx="16" fmlaLink="A18" fmlaRange="data_slings!$D$24:$D$63" sel="3" val="2"/>
</file>

<file path=xl/ctrlProps/ctrlProp96.xml><?xml version="1.0" encoding="utf-8"?>
<formControlPr xmlns="http://schemas.microsoft.com/office/spreadsheetml/2009/9/main" objectType="Drop" dropStyle="combo" dx="16" fmlaLink="$A$27" fmlaRange="data_slings!$D$65:$D$77" val="0"/>
</file>

<file path=xl/ctrlProps/ctrlProp97.xml><?xml version="1.0" encoding="utf-8"?>
<formControlPr xmlns="http://schemas.microsoft.com/office/spreadsheetml/2009/9/main" objectType="Radio" checked="Checked" firstButton="1" fmlaLink="$A$5" lockText="1"/>
</file>

<file path=xl/ctrlProps/ctrlProp98.xml><?xml version="1.0" encoding="utf-8"?>
<formControlPr xmlns="http://schemas.microsoft.com/office/spreadsheetml/2009/9/main" objectType="Radio" lockText="1"/>
</file>

<file path=xl/ctrlProps/ctrlProp99.xml><?xml version="1.0" encoding="utf-8"?>
<formControlPr xmlns="http://schemas.microsoft.com/office/spreadsheetml/2009/9/main" objectType="GBox"/>
</file>

<file path=xl/drawings/_rels/drawing1.xml.rels><?xml version="1.0" encoding="UTF-8" standalone="yes"?>
<Relationships xmlns="http://schemas.openxmlformats.org/package/2006/relationships"><Relationship Id="rId8" Type="http://schemas.openxmlformats.org/officeDocument/2006/relationships/image" Target="../media/image4.emf"/><Relationship Id="rId13" Type="http://schemas.openxmlformats.org/officeDocument/2006/relationships/hyperlink" Target="#Conversions"/><Relationship Id="rId18" Type="http://schemas.openxmlformats.org/officeDocument/2006/relationships/image" Target="../media/image10.png"/><Relationship Id="rId3" Type="http://schemas.openxmlformats.org/officeDocument/2006/relationships/hyperlink" Target="#'INDEX (Weight)'!A1"/><Relationship Id="rId7" Type="http://schemas.openxmlformats.org/officeDocument/2006/relationships/hyperlink" Target="#INDEX_EQUIP"/><Relationship Id="rId12" Type="http://schemas.openxmlformats.org/officeDocument/2006/relationships/image" Target="../media/image6.png"/><Relationship Id="rId17" Type="http://schemas.openxmlformats.org/officeDocument/2006/relationships/hyperlink" Target="http://www.acratech.com/" TargetMode="External"/><Relationship Id="rId2" Type="http://schemas.openxmlformats.org/officeDocument/2006/relationships/image" Target="../media/image1.emf"/><Relationship Id="rId16" Type="http://schemas.openxmlformats.org/officeDocument/2006/relationships/image" Target="../media/image9.emf"/><Relationship Id="rId1" Type="http://schemas.openxmlformats.org/officeDocument/2006/relationships/hyperlink" Target="#Master_Index_Page"/><Relationship Id="rId6" Type="http://schemas.openxmlformats.org/officeDocument/2006/relationships/image" Target="../media/image3.emf"/><Relationship Id="rId11" Type="http://schemas.openxmlformats.org/officeDocument/2006/relationships/hyperlink" Target="#HelpMe"/><Relationship Id="rId5" Type="http://schemas.openxmlformats.org/officeDocument/2006/relationships/hyperlink" Target="#INDEX_TENSION"/><Relationship Id="rId15" Type="http://schemas.openxmlformats.org/officeDocument/2006/relationships/image" Target="../media/image8.emf"/><Relationship Id="rId10" Type="http://schemas.openxmlformats.org/officeDocument/2006/relationships/image" Target="../media/image5.png"/><Relationship Id="rId4" Type="http://schemas.openxmlformats.org/officeDocument/2006/relationships/image" Target="../media/image2.emf"/><Relationship Id="rId9" Type="http://schemas.openxmlformats.org/officeDocument/2006/relationships/hyperlink" Target="#CodeRef"/><Relationship Id="rId14" Type="http://schemas.openxmlformats.org/officeDocument/2006/relationships/image" Target="../media/image7.png"/></Relationships>
</file>

<file path=xl/drawings/_rels/drawing10.xml.rels><?xml version="1.0" encoding="UTF-8" standalone="yes"?>
<Relationships xmlns="http://schemas.openxmlformats.org/package/2006/relationships"><Relationship Id="rId8" Type="http://schemas.openxmlformats.org/officeDocument/2006/relationships/hyperlink" Target="#INDEX_TENSION"/><Relationship Id="rId13" Type="http://schemas.openxmlformats.org/officeDocument/2006/relationships/image" Target="../media/image5.png"/><Relationship Id="rId3" Type="http://schemas.openxmlformats.org/officeDocument/2006/relationships/image" Target="../media/image12.emf"/><Relationship Id="rId7" Type="http://schemas.openxmlformats.org/officeDocument/2006/relationships/image" Target="../media/image2.emf"/><Relationship Id="rId12" Type="http://schemas.openxmlformats.org/officeDocument/2006/relationships/hyperlink" Target="#CodeRef"/><Relationship Id="rId17" Type="http://schemas.openxmlformats.org/officeDocument/2006/relationships/image" Target="../media/image7.png"/><Relationship Id="rId2" Type="http://schemas.openxmlformats.org/officeDocument/2006/relationships/hyperlink" Target="#LOGOPAGE"/><Relationship Id="rId16" Type="http://schemas.openxmlformats.org/officeDocument/2006/relationships/hyperlink" Target="#Conversions"/><Relationship Id="rId1" Type="http://schemas.openxmlformats.org/officeDocument/2006/relationships/image" Target="../media/image51.emf"/><Relationship Id="rId6" Type="http://schemas.openxmlformats.org/officeDocument/2006/relationships/hyperlink" Target="#INDEX_WEIGHT"/><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png"/><Relationship Id="rId10" Type="http://schemas.openxmlformats.org/officeDocument/2006/relationships/hyperlink" Target="#INDEX_EQUIP"/><Relationship Id="rId4" Type="http://schemas.openxmlformats.org/officeDocument/2006/relationships/hyperlink" Target="#Master_Index_Page"/><Relationship Id="rId9" Type="http://schemas.openxmlformats.org/officeDocument/2006/relationships/image" Target="../media/image3.emf"/><Relationship Id="rId14" Type="http://schemas.openxmlformats.org/officeDocument/2006/relationships/hyperlink" Target="#HelpMe"/></Relationships>
</file>

<file path=xl/drawings/_rels/drawing11.xml.rels><?xml version="1.0" encoding="UTF-8" standalone="yes"?>
<Relationships xmlns="http://schemas.openxmlformats.org/package/2006/relationships"><Relationship Id="rId8" Type="http://schemas.openxmlformats.org/officeDocument/2006/relationships/hyperlink" Target="#INDEX_TENSION"/><Relationship Id="rId13" Type="http://schemas.openxmlformats.org/officeDocument/2006/relationships/image" Target="../media/image5.png"/><Relationship Id="rId3" Type="http://schemas.openxmlformats.org/officeDocument/2006/relationships/image" Target="../media/image12.emf"/><Relationship Id="rId7" Type="http://schemas.openxmlformats.org/officeDocument/2006/relationships/image" Target="../media/image2.emf"/><Relationship Id="rId12" Type="http://schemas.openxmlformats.org/officeDocument/2006/relationships/hyperlink" Target="#CodeRef"/><Relationship Id="rId17" Type="http://schemas.openxmlformats.org/officeDocument/2006/relationships/image" Target="../media/image7.png"/><Relationship Id="rId2" Type="http://schemas.openxmlformats.org/officeDocument/2006/relationships/hyperlink" Target="#LOGOPAGE"/><Relationship Id="rId16" Type="http://schemas.openxmlformats.org/officeDocument/2006/relationships/hyperlink" Target="#Conversions"/><Relationship Id="rId1" Type="http://schemas.openxmlformats.org/officeDocument/2006/relationships/image" Target="../media/image52.emf"/><Relationship Id="rId6" Type="http://schemas.openxmlformats.org/officeDocument/2006/relationships/hyperlink" Target="#INDEX_WEIGHT"/><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png"/><Relationship Id="rId10" Type="http://schemas.openxmlformats.org/officeDocument/2006/relationships/hyperlink" Target="#INDEX_EQUIP"/><Relationship Id="rId4" Type="http://schemas.openxmlformats.org/officeDocument/2006/relationships/hyperlink" Target="#Master_Index_Page"/><Relationship Id="rId9" Type="http://schemas.openxmlformats.org/officeDocument/2006/relationships/image" Target="../media/image3.emf"/><Relationship Id="rId14" Type="http://schemas.openxmlformats.org/officeDocument/2006/relationships/hyperlink" Target="#HelpMe"/></Relationships>
</file>

<file path=xl/drawings/_rels/drawing12.xml.rels><?xml version="1.0" encoding="UTF-8" standalone="yes"?>
<Relationships xmlns="http://schemas.openxmlformats.org/package/2006/relationships"><Relationship Id="rId8" Type="http://schemas.openxmlformats.org/officeDocument/2006/relationships/hyperlink" Target="#INDEX_TENSION"/><Relationship Id="rId13" Type="http://schemas.openxmlformats.org/officeDocument/2006/relationships/image" Target="../media/image5.png"/><Relationship Id="rId3" Type="http://schemas.openxmlformats.org/officeDocument/2006/relationships/image" Target="../media/image12.emf"/><Relationship Id="rId7" Type="http://schemas.openxmlformats.org/officeDocument/2006/relationships/image" Target="../media/image2.emf"/><Relationship Id="rId12" Type="http://schemas.openxmlformats.org/officeDocument/2006/relationships/hyperlink" Target="#CodeRef"/><Relationship Id="rId17" Type="http://schemas.openxmlformats.org/officeDocument/2006/relationships/image" Target="../media/image7.png"/><Relationship Id="rId2" Type="http://schemas.openxmlformats.org/officeDocument/2006/relationships/hyperlink" Target="#LOGOPAGE"/><Relationship Id="rId16" Type="http://schemas.openxmlformats.org/officeDocument/2006/relationships/hyperlink" Target="#Conversions"/><Relationship Id="rId1" Type="http://schemas.openxmlformats.org/officeDocument/2006/relationships/image" Target="../media/image53.emf"/><Relationship Id="rId6" Type="http://schemas.openxmlformats.org/officeDocument/2006/relationships/hyperlink" Target="#INDEX_WEIGHT"/><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png"/><Relationship Id="rId10" Type="http://schemas.openxmlformats.org/officeDocument/2006/relationships/hyperlink" Target="#INDEX_EQUIP"/><Relationship Id="rId4" Type="http://schemas.openxmlformats.org/officeDocument/2006/relationships/hyperlink" Target="#Master_Index_Page"/><Relationship Id="rId9" Type="http://schemas.openxmlformats.org/officeDocument/2006/relationships/image" Target="../media/image3.emf"/><Relationship Id="rId14" Type="http://schemas.openxmlformats.org/officeDocument/2006/relationships/hyperlink" Target="#HelpMe"/></Relationships>
</file>

<file path=xl/drawings/_rels/drawing13.xml.rels><?xml version="1.0" encoding="UTF-8" standalone="yes"?>
<Relationships xmlns="http://schemas.openxmlformats.org/package/2006/relationships"><Relationship Id="rId8" Type="http://schemas.openxmlformats.org/officeDocument/2006/relationships/hyperlink" Target="#INDEX_TENSION"/><Relationship Id="rId13" Type="http://schemas.openxmlformats.org/officeDocument/2006/relationships/image" Target="../media/image5.png"/><Relationship Id="rId3" Type="http://schemas.openxmlformats.org/officeDocument/2006/relationships/image" Target="../media/image12.emf"/><Relationship Id="rId7" Type="http://schemas.openxmlformats.org/officeDocument/2006/relationships/image" Target="../media/image2.emf"/><Relationship Id="rId12" Type="http://schemas.openxmlformats.org/officeDocument/2006/relationships/hyperlink" Target="#CodeRef"/><Relationship Id="rId17" Type="http://schemas.openxmlformats.org/officeDocument/2006/relationships/image" Target="../media/image7.png"/><Relationship Id="rId2" Type="http://schemas.openxmlformats.org/officeDocument/2006/relationships/hyperlink" Target="#LOGOPAGE"/><Relationship Id="rId16" Type="http://schemas.openxmlformats.org/officeDocument/2006/relationships/hyperlink" Target="#Conversions"/><Relationship Id="rId1" Type="http://schemas.openxmlformats.org/officeDocument/2006/relationships/image" Target="../media/image54.emf"/><Relationship Id="rId6" Type="http://schemas.openxmlformats.org/officeDocument/2006/relationships/hyperlink" Target="#INDEX_WEIGHT"/><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png"/><Relationship Id="rId10" Type="http://schemas.openxmlformats.org/officeDocument/2006/relationships/hyperlink" Target="#INDEX_EQUIP"/><Relationship Id="rId4" Type="http://schemas.openxmlformats.org/officeDocument/2006/relationships/hyperlink" Target="#Master_Index_Page"/><Relationship Id="rId9" Type="http://schemas.openxmlformats.org/officeDocument/2006/relationships/image" Target="../media/image3.emf"/><Relationship Id="rId14" Type="http://schemas.openxmlformats.org/officeDocument/2006/relationships/hyperlink" Target="#HelpMe"/></Relationships>
</file>

<file path=xl/drawings/_rels/drawing14.xml.rels><?xml version="1.0" encoding="UTF-8" standalone="yes"?>
<Relationships xmlns="http://schemas.openxmlformats.org/package/2006/relationships"><Relationship Id="rId8" Type="http://schemas.openxmlformats.org/officeDocument/2006/relationships/hyperlink" Target="#INDEX_TENSION"/><Relationship Id="rId13" Type="http://schemas.openxmlformats.org/officeDocument/2006/relationships/image" Target="../media/image5.png"/><Relationship Id="rId3" Type="http://schemas.openxmlformats.org/officeDocument/2006/relationships/image" Target="../media/image12.emf"/><Relationship Id="rId7" Type="http://schemas.openxmlformats.org/officeDocument/2006/relationships/image" Target="../media/image2.emf"/><Relationship Id="rId12" Type="http://schemas.openxmlformats.org/officeDocument/2006/relationships/hyperlink" Target="#CodeRef"/><Relationship Id="rId17" Type="http://schemas.openxmlformats.org/officeDocument/2006/relationships/image" Target="../media/image7.png"/><Relationship Id="rId2" Type="http://schemas.openxmlformats.org/officeDocument/2006/relationships/hyperlink" Target="#LOGOPAGE"/><Relationship Id="rId16" Type="http://schemas.openxmlformats.org/officeDocument/2006/relationships/hyperlink" Target="#Conversions"/><Relationship Id="rId1" Type="http://schemas.openxmlformats.org/officeDocument/2006/relationships/image" Target="../media/image55.emf"/><Relationship Id="rId6" Type="http://schemas.openxmlformats.org/officeDocument/2006/relationships/hyperlink" Target="#INDEX_WEIGHT"/><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png"/><Relationship Id="rId10" Type="http://schemas.openxmlformats.org/officeDocument/2006/relationships/hyperlink" Target="#INDEX_EQUIP"/><Relationship Id="rId4" Type="http://schemas.openxmlformats.org/officeDocument/2006/relationships/hyperlink" Target="#Master_Index_Page"/><Relationship Id="rId9" Type="http://schemas.openxmlformats.org/officeDocument/2006/relationships/image" Target="../media/image3.emf"/><Relationship Id="rId14" Type="http://schemas.openxmlformats.org/officeDocument/2006/relationships/hyperlink" Target="#HelpMe"/></Relationships>
</file>

<file path=xl/drawings/_rels/drawing15.xml.rels><?xml version="1.0" encoding="UTF-8" standalone="yes"?>
<Relationships xmlns="http://schemas.openxmlformats.org/package/2006/relationships"><Relationship Id="rId8" Type="http://schemas.openxmlformats.org/officeDocument/2006/relationships/hyperlink" Target="#INDEX_TENSION"/><Relationship Id="rId13" Type="http://schemas.openxmlformats.org/officeDocument/2006/relationships/image" Target="../media/image5.png"/><Relationship Id="rId3" Type="http://schemas.openxmlformats.org/officeDocument/2006/relationships/image" Target="../media/image12.emf"/><Relationship Id="rId7" Type="http://schemas.openxmlformats.org/officeDocument/2006/relationships/image" Target="../media/image2.emf"/><Relationship Id="rId12" Type="http://schemas.openxmlformats.org/officeDocument/2006/relationships/hyperlink" Target="#CodeRef"/><Relationship Id="rId17" Type="http://schemas.openxmlformats.org/officeDocument/2006/relationships/image" Target="../media/image7.png"/><Relationship Id="rId2" Type="http://schemas.openxmlformats.org/officeDocument/2006/relationships/hyperlink" Target="#LOGOPAGE"/><Relationship Id="rId16" Type="http://schemas.openxmlformats.org/officeDocument/2006/relationships/hyperlink" Target="#Conversions"/><Relationship Id="rId1" Type="http://schemas.openxmlformats.org/officeDocument/2006/relationships/image" Target="../media/image56.emf"/><Relationship Id="rId6" Type="http://schemas.openxmlformats.org/officeDocument/2006/relationships/hyperlink" Target="#INDEX_WEIGHT"/><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png"/><Relationship Id="rId10" Type="http://schemas.openxmlformats.org/officeDocument/2006/relationships/hyperlink" Target="#INDEX_EQUIP"/><Relationship Id="rId4" Type="http://schemas.openxmlformats.org/officeDocument/2006/relationships/hyperlink" Target="#Master_Index_Page"/><Relationship Id="rId9" Type="http://schemas.openxmlformats.org/officeDocument/2006/relationships/image" Target="../media/image3.emf"/><Relationship Id="rId14" Type="http://schemas.openxmlformats.org/officeDocument/2006/relationships/hyperlink" Target="#HelpMe"/></Relationships>
</file>

<file path=xl/drawings/_rels/drawing16.xml.rels><?xml version="1.0" encoding="UTF-8" standalone="yes"?>
<Relationships xmlns="http://schemas.openxmlformats.org/package/2006/relationships"><Relationship Id="rId8" Type="http://schemas.openxmlformats.org/officeDocument/2006/relationships/hyperlink" Target="#INDEX_TENSION"/><Relationship Id="rId13" Type="http://schemas.openxmlformats.org/officeDocument/2006/relationships/image" Target="../media/image5.png"/><Relationship Id="rId3" Type="http://schemas.openxmlformats.org/officeDocument/2006/relationships/image" Target="../media/image12.emf"/><Relationship Id="rId7" Type="http://schemas.openxmlformats.org/officeDocument/2006/relationships/image" Target="../media/image2.emf"/><Relationship Id="rId12" Type="http://schemas.openxmlformats.org/officeDocument/2006/relationships/hyperlink" Target="#CodeRef"/><Relationship Id="rId17" Type="http://schemas.openxmlformats.org/officeDocument/2006/relationships/image" Target="../media/image7.png"/><Relationship Id="rId2" Type="http://schemas.openxmlformats.org/officeDocument/2006/relationships/hyperlink" Target="#LOGOPAGE"/><Relationship Id="rId16" Type="http://schemas.openxmlformats.org/officeDocument/2006/relationships/hyperlink" Target="#Conversions"/><Relationship Id="rId1" Type="http://schemas.openxmlformats.org/officeDocument/2006/relationships/image" Target="../media/image57.emf"/><Relationship Id="rId6" Type="http://schemas.openxmlformats.org/officeDocument/2006/relationships/hyperlink" Target="#INDEX_WEIGHT"/><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png"/><Relationship Id="rId10" Type="http://schemas.openxmlformats.org/officeDocument/2006/relationships/hyperlink" Target="#INDEX_EQUIP"/><Relationship Id="rId4" Type="http://schemas.openxmlformats.org/officeDocument/2006/relationships/hyperlink" Target="#Master_Index_Page"/><Relationship Id="rId9" Type="http://schemas.openxmlformats.org/officeDocument/2006/relationships/image" Target="../media/image3.emf"/><Relationship Id="rId14" Type="http://schemas.openxmlformats.org/officeDocument/2006/relationships/hyperlink" Target="#HelpMe"/></Relationships>
</file>

<file path=xl/drawings/_rels/drawing17.xml.rels><?xml version="1.0" encoding="UTF-8" standalone="yes"?>
<Relationships xmlns="http://schemas.openxmlformats.org/package/2006/relationships"><Relationship Id="rId8" Type="http://schemas.openxmlformats.org/officeDocument/2006/relationships/hyperlink" Target="#INDEX_TENSION"/><Relationship Id="rId13" Type="http://schemas.openxmlformats.org/officeDocument/2006/relationships/image" Target="../media/image5.png"/><Relationship Id="rId3" Type="http://schemas.openxmlformats.org/officeDocument/2006/relationships/image" Target="../media/image12.emf"/><Relationship Id="rId7" Type="http://schemas.openxmlformats.org/officeDocument/2006/relationships/image" Target="../media/image2.emf"/><Relationship Id="rId12" Type="http://schemas.openxmlformats.org/officeDocument/2006/relationships/hyperlink" Target="#CodeRef"/><Relationship Id="rId17" Type="http://schemas.openxmlformats.org/officeDocument/2006/relationships/image" Target="../media/image7.png"/><Relationship Id="rId2" Type="http://schemas.openxmlformats.org/officeDocument/2006/relationships/hyperlink" Target="#LOGOPAGE"/><Relationship Id="rId16" Type="http://schemas.openxmlformats.org/officeDocument/2006/relationships/hyperlink" Target="#Conversions"/><Relationship Id="rId1" Type="http://schemas.openxmlformats.org/officeDocument/2006/relationships/image" Target="../media/image58.emf"/><Relationship Id="rId6" Type="http://schemas.openxmlformats.org/officeDocument/2006/relationships/hyperlink" Target="#INDEX_WEIGHT"/><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png"/><Relationship Id="rId10" Type="http://schemas.openxmlformats.org/officeDocument/2006/relationships/hyperlink" Target="#INDEX_EQUIP"/><Relationship Id="rId4" Type="http://schemas.openxmlformats.org/officeDocument/2006/relationships/hyperlink" Target="#Master_Index_Page"/><Relationship Id="rId9" Type="http://schemas.openxmlformats.org/officeDocument/2006/relationships/image" Target="../media/image3.emf"/><Relationship Id="rId14" Type="http://schemas.openxmlformats.org/officeDocument/2006/relationships/hyperlink" Target="#HelpMe"/></Relationships>
</file>

<file path=xl/drawings/_rels/drawing18.xml.rels><?xml version="1.0" encoding="UTF-8" standalone="yes"?>
<Relationships xmlns="http://schemas.openxmlformats.org/package/2006/relationships"><Relationship Id="rId8" Type="http://schemas.openxmlformats.org/officeDocument/2006/relationships/hyperlink" Target="#INDEX_TENSION"/><Relationship Id="rId13" Type="http://schemas.openxmlformats.org/officeDocument/2006/relationships/image" Target="../media/image5.png"/><Relationship Id="rId3" Type="http://schemas.openxmlformats.org/officeDocument/2006/relationships/image" Target="../media/image12.emf"/><Relationship Id="rId7" Type="http://schemas.openxmlformats.org/officeDocument/2006/relationships/image" Target="../media/image2.emf"/><Relationship Id="rId12" Type="http://schemas.openxmlformats.org/officeDocument/2006/relationships/hyperlink" Target="#CodeRef"/><Relationship Id="rId17" Type="http://schemas.openxmlformats.org/officeDocument/2006/relationships/image" Target="../media/image7.png"/><Relationship Id="rId2" Type="http://schemas.openxmlformats.org/officeDocument/2006/relationships/hyperlink" Target="#LOGOPAGE"/><Relationship Id="rId16" Type="http://schemas.openxmlformats.org/officeDocument/2006/relationships/hyperlink" Target="#Conversions"/><Relationship Id="rId1" Type="http://schemas.openxmlformats.org/officeDocument/2006/relationships/image" Target="../media/image59.emf"/><Relationship Id="rId6" Type="http://schemas.openxmlformats.org/officeDocument/2006/relationships/hyperlink" Target="#INDEX_WEIGHT"/><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png"/><Relationship Id="rId10" Type="http://schemas.openxmlformats.org/officeDocument/2006/relationships/hyperlink" Target="#INDEX_EQUIP"/><Relationship Id="rId4" Type="http://schemas.openxmlformats.org/officeDocument/2006/relationships/hyperlink" Target="#Master_Index_Page"/><Relationship Id="rId9" Type="http://schemas.openxmlformats.org/officeDocument/2006/relationships/image" Target="../media/image3.emf"/><Relationship Id="rId14" Type="http://schemas.openxmlformats.org/officeDocument/2006/relationships/hyperlink" Target="#HelpMe"/></Relationships>
</file>

<file path=xl/drawings/_rels/drawing19.xml.rels><?xml version="1.0" encoding="UTF-8" standalone="yes"?>
<Relationships xmlns="http://schemas.openxmlformats.org/package/2006/relationships"><Relationship Id="rId8" Type="http://schemas.openxmlformats.org/officeDocument/2006/relationships/hyperlink" Target="#INDEX_TENSION"/><Relationship Id="rId13" Type="http://schemas.openxmlformats.org/officeDocument/2006/relationships/image" Target="../media/image5.png"/><Relationship Id="rId3" Type="http://schemas.openxmlformats.org/officeDocument/2006/relationships/image" Target="../media/image12.emf"/><Relationship Id="rId7" Type="http://schemas.openxmlformats.org/officeDocument/2006/relationships/image" Target="../media/image2.emf"/><Relationship Id="rId12" Type="http://schemas.openxmlformats.org/officeDocument/2006/relationships/hyperlink" Target="#CodeRef"/><Relationship Id="rId17" Type="http://schemas.openxmlformats.org/officeDocument/2006/relationships/image" Target="../media/image7.png"/><Relationship Id="rId2" Type="http://schemas.openxmlformats.org/officeDocument/2006/relationships/hyperlink" Target="#LOGOPAGE"/><Relationship Id="rId16" Type="http://schemas.openxmlformats.org/officeDocument/2006/relationships/hyperlink" Target="#Conversions"/><Relationship Id="rId1" Type="http://schemas.openxmlformats.org/officeDocument/2006/relationships/image" Target="../media/image60.emf"/><Relationship Id="rId6" Type="http://schemas.openxmlformats.org/officeDocument/2006/relationships/hyperlink" Target="#INDEX_WEIGHT"/><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png"/><Relationship Id="rId10" Type="http://schemas.openxmlformats.org/officeDocument/2006/relationships/hyperlink" Target="#INDEX_EQUIP"/><Relationship Id="rId4" Type="http://schemas.openxmlformats.org/officeDocument/2006/relationships/hyperlink" Target="#Master_Index_Page"/><Relationship Id="rId9" Type="http://schemas.openxmlformats.org/officeDocument/2006/relationships/image" Target="../media/image3.emf"/><Relationship Id="rId14" Type="http://schemas.openxmlformats.org/officeDocument/2006/relationships/hyperlink" Target="#HelpMe"/></Relationships>
</file>

<file path=xl/drawings/_rels/drawing2.xml.rels><?xml version="1.0" encoding="UTF-8" standalone="yes"?>
<Relationships xmlns="http://schemas.openxmlformats.org/package/2006/relationships"><Relationship Id="rId8" Type="http://schemas.openxmlformats.org/officeDocument/2006/relationships/image" Target="../media/image3.emf"/><Relationship Id="rId13" Type="http://schemas.openxmlformats.org/officeDocument/2006/relationships/hyperlink" Target="#Conversions"/><Relationship Id="rId3" Type="http://schemas.openxmlformats.org/officeDocument/2006/relationships/hyperlink" Target="#Master_Index_Page"/><Relationship Id="rId7" Type="http://schemas.openxmlformats.org/officeDocument/2006/relationships/hyperlink" Target="#INDEX_TENSION"/><Relationship Id="rId12" Type="http://schemas.openxmlformats.org/officeDocument/2006/relationships/image" Target="../media/image5.png"/><Relationship Id="rId17" Type="http://schemas.openxmlformats.org/officeDocument/2006/relationships/image" Target="../media/image15.jpeg"/><Relationship Id="rId2" Type="http://schemas.openxmlformats.org/officeDocument/2006/relationships/image" Target="../media/image12.emf"/><Relationship Id="rId16" Type="http://schemas.openxmlformats.org/officeDocument/2006/relationships/image" Target="../media/image14.emf"/><Relationship Id="rId1" Type="http://schemas.openxmlformats.org/officeDocument/2006/relationships/hyperlink" Target="#LOGOPAGE"/><Relationship Id="rId6" Type="http://schemas.openxmlformats.org/officeDocument/2006/relationships/image" Target="../media/image2.emf"/><Relationship Id="rId11" Type="http://schemas.openxmlformats.org/officeDocument/2006/relationships/hyperlink" Target="#CodeRef"/><Relationship Id="rId5" Type="http://schemas.openxmlformats.org/officeDocument/2006/relationships/hyperlink" Target="#INDEX_WEIGHT"/><Relationship Id="rId15" Type="http://schemas.openxmlformats.org/officeDocument/2006/relationships/image" Target="../media/image13.emf"/><Relationship Id="rId10" Type="http://schemas.openxmlformats.org/officeDocument/2006/relationships/image" Target="../media/image4.emf"/><Relationship Id="rId4" Type="http://schemas.openxmlformats.org/officeDocument/2006/relationships/image" Target="../media/image1.emf"/><Relationship Id="rId9" Type="http://schemas.openxmlformats.org/officeDocument/2006/relationships/hyperlink" Target="#INDEX_EQUIP"/><Relationship Id="rId14" Type="http://schemas.openxmlformats.org/officeDocument/2006/relationships/image" Target="../media/image7.png"/></Relationships>
</file>

<file path=xl/drawings/_rels/drawing20.xml.rels><?xml version="1.0" encoding="UTF-8" standalone="yes"?>
<Relationships xmlns="http://schemas.openxmlformats.org/package/2006/relationships"><Relationship Id="rId8" Type="http://schemas.openxmlformats.org/officeDocument/2006/relationships/hyperlink" Target="#INDEX_TENSION"/><Relationship Id="rId13" Type="http://schemas.openxmlformats.org/officeDocument/2006/relationships/image" Target="../media/image5.png"/><Relationship Id="rId3" Type="http://schemas.openxmlformats.org/officeDocument/2006/relationships/image" Target="../media/image12.emf"/><Relationship Id="rId7" Type="http://schemas.openxmlformats.org/officeDocument/2006/relationships/image" Target="../media/image2.emf"/><Relationship Id="rId12" Type="http://schemas.openxmlformats.org/officeDocument/2006/relationships/hyperlink" Target="#CodeRef"/><Relationship Id="rId17" Type="http://schemas.openxmlformats.org/officeDocument/2006/relationships/image" Target="../media/image7.png"/><Relationship Id="rId2" Type="http://schemas.openxmlformats.org/officeDocument/2006/relationships/hyperlink" Target="#LOGOPAGE"/><Relationship Id="rId16" Type="http://schemas.openxmlformats.org/officeDocument/2006/relationships/hyperlink" Target="#Conversions"/><Relationship Id="rId1" Type="http://schemas.openxmlformats.org/officeDocument/2006/relationships/image" Target="../media/image61.emf"/><Relationship Id="rId6" Type="http://schemas.openxmlformats.org/officeDocument/2006/relationships/hyperlink" Target="#INDEX_WEIGHT"/><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png"/><Relationship Id="rId10" Type="http://schemas.openxmlformats.org/officeDocument/2006/relationships/hyperlink" Target="#INDEX_EQUIP"/><Relationship Id="rId4" Type="http://schemas.openxmlformats.org/officeDocument/2006/relationships/hyperlink" Target="#Master_Index_Page"/><Relationship Id="rId9" Type="http://schemas.openxmlformats.org/officeDocument/2006/relationships/image" Target="../media/image3.emf"/><Relationship Id="rId14" Type="http://schemas.openxmlformats.org/officeDocument/2006/relationships/hyperlink" Target="#HelpMe"/></Relationships>
</file>

<file path=xl/drawings/_rels/drawing21.xml.rels><?xml version="1.0" encoding="UTF-8" standalone="yes"?>
<Relationships xmlns="http://schemas.openxmlformats.org/package/2006/relationships"><Relationship Id="rId8" Type="http://schemas.openxmlformats.org/officeDocument/2006/relationships/hyperlink" Target="#INDEX_TENSION"/><Relationship Id="rId13" Type="http://schemas.openxmlformats.org/officeDocument/2006/relationships/image" Target="../media/image5.png"/><Relationship Id="rId3" Type="http://schemas.openxmlformats.org/officeDocument/2006/relationships/image" Target="../media/image12.emf"/><Relationship Id="rId7" Type="http://schemas.openxmlformats.org/officeDocument/2006/relationships/image" Target="../media/image2.emf"/><Relationship Id="rId12" Type="http://schemas.openxmlformats.org/officeDocument/2006/relationships/hyperlink" Target="#CodeRef"/><Relationship Id="rId17" Type="http://schemas.openxmlformats.org/officeDocument/2006/relationships/image" Target="../media/image7.png"/><Relationship Id="rId2" Type="http://schemas.openxmlformats.org/officeDocument/2006/relationships/hyperlink" Target="#LOGOPAGE"/><Relationship Id="rId16" Type="http://schemas.openxmlformats.org/officeDocument/2006/relationships/hyperlink" Target="#Conversions"/><Relationship Id="rId1" Type="http://schemas.openxmlformats.org/officeDocument/2006/relationships/image" Target="../media/image62.emf"/><Relationship Id="rId6" Type="http://schemas.openxmlformats.org/officeDocument/2006/relationships/hyperlink" Target="#INDEX_WEIGHT"/><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png"/><Relationship Id="rId10" Type="http://schemas.openxmlformats.org/officeDocument/2006/relationships/hyperlink" Target="#INDEX_EQUIP"/><Relationship Id="rId4" Type="http://schemas.openxmlformats.org/officeDocument/2006/relationships/hyperlink" Target="#Master_Index_Page"/><Relationship Id="rId9" Type="http://schemas.openxmlformats.org/officeDocument/2006/relationships/image" Target="../media/image3.emf"/><Relationship Id="rId14" Type="http://schemas.openxmlformats.org/officeDocument/2006/relationships/hyperlink" Target="#HelpMe"/></Relationships>
</file>

<file path=xl/drawings/_rels/drawing22.xml.rels><?xml version="1.0" encoding="UTF-8" standalone="yes"?>
<Relationships xmlns="http://schemas.openxmlformats.org/package/2006/relationships"><Relationship Id="rId8" Type="http://schemas.openxmlformats.org/officeDocument/2006/relationships/hyperlink" Target="#INDEX_TENSION"/><Relationship Id="rId13" Type="http://schemas.openxmlformats.org/officeDocument/2006/relationships/image" Target="../media/image5.png"/><Relationship Id="rId3" Type="http://schemas.openxmlformats.org/officeDocument/2006/relationships/image" Target="../media/image12.emf"/><Relationship Id="rId7" Type="http://schemas.openxmlformats.org/officeDocument/2006/relationships/image" Target="../media/image2.emf"/><Relationship Id="rId12" Type="http://schemas.openxmlformats.org/officeDocument/2006/relationships/hyperlink" Target="#CodeRef"/><Relationship Id="rId17" Type="http://schemas.openxmlformats.org/officeDocument/2006/relationships/image" Target="../media/image7.png"/><Relationship Id="rId2" Type="http://schemas.openxmlformats.org/officeDocument/2006/relationships/hyperlink" Target="#LOGOPAGE"/><Relationship Id="rId16" Type="http://schemas.openxmlformats.org/officeDocument/2006/relationships/hyperlink" Target="#Conversions"/><Relationship Id="rId1" Type="http://schemas.openxmlformats.org/officeDocument/2006/relationships/image" Target="../media/image63.emf"/><Relationship Id="rId6" Type="http://schemas.openxmlformats.org/officeDocument/2006/relationships/hyperlink" Target="#INDEX_WEIGHT"/><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png"/><Relationship Id="rId10" Type="http://schemas.openxmlformats.org/officeDocument/2006/relationships/hyperlink" Target="#INDEX_EQUIP"/><Relationship Id="rId4" Type="http://schemas.openxmlformats.org/officeDocument/2006/relationships/hyperlink" Target="#Master_Index_Page"/><Relationship Id="rId9" Type="http://schemas.openxmlformats.org/officeDocument/2006/relationships/image" Target="../media/image3.emf"/><Relationship Id="rId14" Type="http://schemas.openxmlformats.org/officeDocument/2006/relationships/hyperlink" Target="#HelpMe"/></Relationships>
</file>

<file path=xl/drawings/_rels/drawing23.xml.rels><?xml version="1.0" encoding="UTF-8" standalone="yes"?>
<Relationships xmlns="http://schemas.openxmlformats.org/package/2006/relationships"><Relationship Id="rId8" Type="http://schemas.openxmlformats.org/officeDocument/2006/relationships/hyperlink" Target="#INDEX_TENSION"/><Relationship Id="rId13" Type="http://schemas.openxmlformats.org/officeDocument/2006/relationships/image" Target="../media/image5.png"/><Relationship Id="rId3" Type="http://schemas.openxmlformats.org/officeDocument/2006/relationships/image" Target="../media/image12.emf"/><Relationship Id="rId7" Type="http://schemas.openxmlformats.org/officeDocument/2006/relationships/image" Target="../media/image2.emf"/><Relationship Id="rId12" Type="http://schemas.openxmlformats.org/officeDocument/2006/relationships/hyperlink" Target="#CodeRef"/><Relationship Id="rId17" Type="http://schemas.openxmlformats.org/officeDocument/2006/relationships/image" Target="../media/image7.png"/><Relationship Id="rId2" Type="http://schemas.openxmlformats.org/officeDocument/2006/relationships/hyperlink" Target="#LOGOPAGE"/><Relationship Id="rId16" Type="http://schemas.openxmlformats.org/officeDocument/2006/relationships/hyperlink" Target="#Conversions"/><Relationship Id="rId1" Type="http://schemas.openxmlformats.org/officeDocument/2006/relationships/image" Target="../media/image64.emf"/><Relationship Id="rId6" Type="http://schemas.openxmlformats.org/officeDocument/2006/relationships/hyperlink" Target="#INDEX_WEIGHT"/><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png"/><Relationship Id="rId10" Type="http://schemas.openxmlformats.org/officeDocument/2006/relationships/hyperlink" Target="#INDEX_EQUIP"/><Relationship Id="rId4" Type="http://schemas.openxmlformats.org/officeDocument/2006/relationships/hyperlink" Target="#Master_Index_Page"/><Relationship Id="rId9" Type="http://schemas.openxmlformats.org/officeDocument/2006/relationships/image" Target="../media/image3.emf"/><Relationship Id="rId14" Type="http://schemas.openxmlformats.org/officeDocument/2006/relationships/hyperlink" Target="#HelpMe"/></Relationships>
</file>

<file path=xl/drawings/_rels/drawing24.xml.rels><?xml version="1.0" encoding="UTF-8" standalone="yes"?>
<Relationships xmlns="http://schemas.openxmlformats.org/package/2006/relationships"><Relationship Id="rId8" Type="http://schemas.openxmlformats.org/officeDocument/2006/relationships/hyperlink" Target="#INDEX_TENSION"/><Relationship Id="rId13" Type="http://schemas.openxmlformats.org/officeDocument/2006/relationships/image" Target="../media/image5.png"/><Relationship Id="rId3" Type="http://schemas.openxmlformats.org/officeDocument/2006/relationships/image" Target="../media/image12.emf"/><Relationship Id="rId7" Type="http://schemas.openxmlformats.org/officeDocument/2006/relationships/image" Target="../media/image2.emf"/><Relationship Id="rId12" Type="http://schemas.openxmlformats.org/officeDocument/2006/relationships/hyperlink" Target="#CodeRef"/><Relationship Id="rId17" Type="http://schemas.openxmlformats.org/officeDocument/2006/relationships/image" Target="../media/image7.png"/><Relationship Id="rId2" Type="http://schemas.openxmlformats.org/officeDocument/2006/relationships/hyperlink" Target="#LOGOPAGE"/><Relationship Id="rId16" Type="http://schemas.openxmlformats.org/officeDocument/2006/relationships/hyperlink" Target="#Conversions"/><Relationship Id="rId1" Type="http://schemas.openxmlformats.org/officeDocument/2006/relationships/image" Target="../media/image65.emf"/><Relationship Id="rId6" Type="http://schemas.openxmlformats.org/officeDocument/2006/relationships/hyperlink" Target="#INDEX_WEIGHT"/><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png"/><Relationship Id="rId10" Type="http://schemas.openxmlformats.org/officeDocument/2006/relationships/hyperlink" Target="#INDEX_EQUIP"/><Relationship Id="rId4" Type="http://schemas.openxmlformats.org/officeDocument/2006/relationships/hyperlink" Target="#Master_Index_Page"/><Relationship Id="rId9" Type="http://schemas.openxmlformats.org/officeDocument/2006/relationships/image" Target="../media/image3.emf"/><Relationship Id="rId14" Type="http://schemas.openxmlformats.org/officeDocument/2006/relationships/hyperlink" Target="#HelpMe"/></Relationships>
</file>

<file path=xl/drawings/_rels/drawing25.xml.rels><?xml version="1.0" encoding="UTF-8" standalone="yes"?>
<Relationships xmlns="http://schemas.openxmlformats.org/package/2006/relationships"><Relationship Id="rId8" Type="http://schemas.openxmlformats.org/officeDocument/2006/relationships/hyperlink" Target="#INDEX_TENSION"/><Relationship Id="rId13" Type="http://schemas.openxmlformats.org/officeDocument/2006/relationships/image" Target="../media/image5.png"/><Relationship Id="rId3" Type="http://schemas.openxmlformats.org/officeDocument/2006/relationships/image" Target="../media/image12.emf"/><Relationship Id="rId7" Type="http://schemas.openxmlformats.org/officeDocument/2006/relationships/image" Target="../media/image2.emf"/><Relationship Id="rId12" Type="http://schemas.openxmlformats.org/officeDocument/2006/relationships/hyperlink" Target="#CodeRef"/><Relationship Id="rId17" Type="http://schemas.openxmlformats.org/officeDocument/2006/relationships/image" Target="../media/image7.png"/><Relationship Id="rId2" Type="http://schemas.openxmlformats.org/officeDocument/2006/relationships/hyperlink" Target="#LOGOPAGE"/><Relationship Id="rId16" Type="http://schemas.openxmlformats.org/officeDocument/2006/relationships/hyperlink" Target="#Conversions"/><Relationship Id="rId1" Type="http://schemas.openxmlformats.org/officeDocument/2006/relationships/image" Target="../media/image66.emf"/><Relationship Id="rId6" Type="http://schemas.openxmlformats.org/officeDocument/2006/relationships/hyperlink" Target="#INDEX_WEIGHT"/><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png"/><Relationship Id="rId10" Type="http://schemas.openxmlformats.org/officeDocument/2006/relationships/hyperlink" Target="#INDEX_EQUIP"/><Relationship Id="rId4" Type="http://schemas.openxmlformats.org/officeDocument/2006/relationships/hyperlink" Target="#Master_Index_Page"/><Relationship Id="rId9" Type="http://schemas.openxmlformats.org/officeDocument/2006/relationships/image" Target="../media/image3.emf"/><Relationship Id="rId14" Type="http://schemas.openxmlformats.org/officeDocument/2006/relationships/hyperlink" Target="#HelpMe"/></Relationships>
</file>

<file path=xl/drawings/_rels/drawing26.xml.rels><?xml version="1.0" encoding="UTF-8" standalone="yes"?>
<Relationships xmlns="http://schemas.openxmlformats.org/package/2006/relationships"><Relationship Id="rId8" Type="http://schemas.openxmlformats.org/officeDocument/2006/relationships/hyperlink" Target="#INDEX_TENSION"/><Relationship Id="rId13" Type="http://schemas.openxmlformats.org/officeDocument/2006/relationships/image" Target="../media/image5.png"/><Relationship Id="rId3" Type="http://schemas.openxmlformats.org/officeDocument/2006/relationships/image" Target="../media/image12.emf"/><Relationship Id="rId7" Type="http://schemas.openxmlformats.org/officeDocument/2006/relationships/image" Target="../media/image2.emf"/><Relationship Id="rId12" Type="http://schemas.openxmlformats.org/officeDocument/2006/relationships/hyperlink" Target="#CodeRef"/><Relationship Id="rId17" Type="http://schemas.openxmlformats.org/officeDocument/2006/relationships/image" Target="../media/image7.png"/><Relationship Id="rId2" Type="http://schemas.openxmlformats.org/officeDocument/2006/relationships/hyperlink" Target="#LOGOPAGE"/><Relationship Id="rId16" Type="http://schemas.openxmlformats.org/officeDocument/2006/relationships/hyperlink" Target="#Conversions"/><Relationship Id="rId1" Type="http://schemas.openxmlformats.org/officeDocument/2006/relationships/image" Target="../media/image67.emf"/><Relationship Id="rId6" Type="http://schemas.openxmlformats.org/officeDocument/2006/relationships/hyperlink" Target="#INDEX_WEIGHT"/><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png"/><Relationship Id="rId10" Type="http://schemas.openxmlformats.org/officeDocument/2006/relationships/hyperlink" Target="#INDEX_EQUIP"/><Relationship Id="rId4" Type="http://schemas.openxmlformats.org/officeDocument/2006/relationships/hyperlink" Target="#Master_Index_Page"/><Relationship Id="rId9" Type="http://schemas.openxmlformats.org/officeDocument/2006/relationships/image" Target="../media/image3.emf"/><Relationship Id="rId14" Type="http://schemas.openxmlformats.org/officeDocument/2006/relationships/hyperlink" Target="#HelpMe"/></Relationships>
</file>

<file path=xl/drawings/_rels/drawing27.xml.rels><?xml version="1.0" encoding="UTF-8" standalone="yes"?>
<Relationships xmlns="http://schemas.openxmlformats.org/package/2006/relationships"><Relationship Id="rId8" Type="http://schemas.openxmlformats.org/officeDocument/2006/relationships/hyperlink" Target="#LOGOPAGE"/><Relationship Id="rId13" Type="http://schemas.openxmlformats.org/officeDocument/2006/relationships/image" Target="../media/image2.emf"/><Relationship Id="rId18" Type="http://schemas.openxmlformats.org/officeDocument/2006/relationships/hyperlink" Target="#CodeRef"/><Relationship Id="rId3" Type="http://schemas.openxmlformats.org/officeDocument/2006/relationships/image" Target="../media/image69.emf"/><Relationship Id="rId21" Type="http://schemas.openxmlformats.org/officeDocument/2006/relationships/image" Target="../media/image6.png"/><Relationship Id="rId7" Type="http://schemas.openxmlformats.org/officeDocument/2006/relationships/image" Target="../media/image72.emf"/><Relationship Id="rId12" Type="http://schemas.openxmlformats.org/officeDocument/2006/relationships/hyperlink" Target="#INDEX_WEIGHT"/><Relationship Id="rId17" Type="http://schemas.openxmlformats.org/officeDocument/2006/relationships/image" Target="../media/image4.emf"/><Relationship Id="rId2" Type="http://schemas.openxmlformats.org/officeDocument/2006/relationships/image" Target="../media/image68.emf"/><Relationship Id="rId16" Type="http://schemas.openxmlformats.org/officeDocument/2006/relationships/hyperlink" Target="#INDEX_EQUIP"/><Relationship Id="rId20" Type="http://schemas.openxmlformats.org/officeDocument/2006/relationships/hyperlink" Target="#HelpMe"/><Relationship Id="rId1" Type="http://schemas.openxmlformats.org/officeDocument/2006/relationships/hyperlink" Target="#'Trig-b'!C3"/><Relationship Id="rId6" Type="http://schemas.openxmlformats.org/officeDocument/2006/relationships/image" Target="../media/image71.emf"/><Relationship Id="rId11" Type="http://schemas.openxmlformats.org/officeDocument/2006/relationships/image" Target="../media/image1.emf"/><Relationship Id="rId5" Type="http://schemas.openxmlformats.org/officeDocument/2006/relationships/hyperlink" Target="#'Trig-c'!C3"/><Relationship Id="rId15" Type="http://schemas.openxmlformats.org/officeDocument/2006/relationships/image" Target="../media/image3.emf"/><Relationship Id="rId23" Type="http://schemas.openxmlformats.org/officeDocument/2006/relationships/image" Target="../media/image7.png"/><Relationship Id="rId10" Type="http://schemas.openxmlformats.org/officeDocument/2006/relationships/hyperlink" Target="#Master_Index_Page"/><Relationship Id="rId19" Type="http://schemas.openxmlformats.org/officeDocument/2006/relationships/image" Target="../media/image5.png"/><Relationship Id="rId4" Type="http://schemas.openxmlformats.org/officeDocument/2006/relationships/image" Target="../media/image70.emf"/><Relationship Id="rId9" Type="http://schemas.openxmlformats.org/officeDocument/2006/relationships/image" Target="../media/image12.emf"/><Relationship Id="rId14" Type="http://schemas.openxmlformats.org/officeDocument/2006/relationships/hyperlink" Target="#INDEX_TENSION"/><Relationship Id="rId22" Type="http://schemas.openxmlformats.org/officeDocument/2006/relationships/hyperlink" Target="#Conversions"/></Relationships>
</file>

<file path=xl/drawings/_rels/drawing28.xml.rels><?xml version="1.0" encoding="UTF-8" standalone="yes"?>
<Relationships xmlns="http://schemas.openxmlformats.org/package/2006/relationships"><Relationship Id="rId8" Type="http://schemas.openxmlformats.org/officeDocument/2006/relationships/hyperlink" Target="#LOGOPAGE"/><Relationship Id="rId13" Type="http://schemas.openxmlformats.org/officeDocument/2006/relationships/image" Target="../media/image2.emf"/><Relationship Id="rId18" Type="http://schemas.openxmlformats.org/officeDocument/2006/relationships/hyperlink" Target="#CodeRef"/><Relationship Id="rId3" Type="http://schemas.openxmlformats.org/officeDocument/2006/relationships/hyperlink" Target="#'Trig-c'!C3"/><Relationship Id="rId21" Type="http://schemas.openxmlformats.org/officeDocument/2006/relationships/image" Target="../media/image6.png"/><Relationship Id="rId7" Type="http://schemas.openxmlformats.org/officeDocument/2006/relationships/image" Target="../media/image72.emf"/><Relationship Id="rId12" Type="http://schemas.openxmlformats.org/officeDocument/2006/relationships/hyperlink" Target="#INDEX_WEIGHT"/><Relationship Id="rId17" Type="http://schemas.openxmlformats.org/officeDocument/2006/relationships/image" Target="../media/image4.emf"/><Relationship Id="rId2" Type="http://schemas.openxmlformats.org/officeDocument/2006/relationships/image" Target="../media/image73.emf"/><Relationship Id="rId16" Type="http://schemas.openxmlformats.org/officeDocument/2006/relationships/hyperlink" Target="#INDEX_EQUIP"/><Relationship Id="rId20" Type="http://schemas.openxmlformats.org/officeDocument/2006/relationships/hyperlink" Target="#HelpMe"/><Relationship Id="rId1" Type="http://schemas.openxmlformats.org/officeDocument/2006/relationships/hyperlink" Target="#'Trig-a'!C3"/><Relationship Id="rId6" Type="http://schemas.openxmlformats.org/officeDocument/2006/relationships/image" Target="../media/image76.emf"/><Relationship Id="rId11" Type="http://schemas.openxmlformats.org/officeDocument/2006/relationships/image" Target="../media/image1.emf"/><Relationship Id="rId5" Type="http://schemas.openxmlformats.org/officeDocument/2006/relationships/image" Target="../media/image75.emf"/><Relationship Id="rId15" Type="http://schemas.openxmlformats.org/officeDocument/2006/relationships/image" Target="../media/image3.emf"/><Relationship Id="rId23" Type="http://schemas.openxmlformats.org/officeDocument/2006/relationships/image" Target="../media/image7.png"/><Relationship Id="rId10" Type="http://schemas.openxmlformats.org/officeDocument/2006/relationships/hyperlink" Target="#Master_Index_Page"/><Relationship Id="rId19" Type="http://schemas.openxmlformats.org/officeDocument/2006/relationships/image" Target="../media/image5.png"/><Relationship Id="rId4" Type="http://schemas.openxmlformats.org/officeDocument/2006/relationships/image" Target="../media/image74.emf"/><Relationship Id="rId9" Type="http://schemas.openxmlformats.org/officeDocument/2006/relationships/image" Target="../media/image12.emf"/><Relationship Id="rId14" Type="http://schemas.openxmlformats.org/officeDocument/2006/relationships/hyperlink" Target="#INDEX_TENSION"/><Relationship Id="rId22" Type="http://schemas.openxmlformats.org/officeDocument/2006/relationships/hyperlink" Target="#Conversions"/></Relationships>
</file>

<file path=xl/drawings/_rels/drawing29.xml.rels><?xml version="1.0" encoding="UTF-8" standalone="yes"?>
<Relationships xmlns="http://schemas.openxmlformats.org/package/2006/relationships"><Relationship Id="rId8" Type="http://schemas.openxmlformats.org/officeDocument/2006/relationships/hyperlink" Target="#LOGOPAGE"/><Relationship Id="rId13" Type="http://schemas.openxmlformats.org/officeDocument/2006/relationships/image" Target="../media/image2.emf"/><Relationship Id="rId18" Type="http://schemas.openxmlformats.org/officeDocument/2006/relationships/hyperlink" Target="#CodeRef"/><Relationship Id="rId3" Type="http://schemas.openxmlformats.org/officeDocument/2006/relationships/hyperlink" Target="#'Trig-b'!C3"/><Relationship Id="rId21" Type="http://schemas.openxmlformats.org/officeDocument/2006/relationships/image" Target="../media/image6.png"/><Relationship Id="rId7" Type="http://schemas.openxmlformats.org/officeDocument/2006/relationships/image" Target="../media/image72.emf"/><Relationship Id="rId12" Type="http://schemas.openxmlformats.org/officeDocument/2006/relationships/hyperlink" Target="#INDEX_WEIGHT"/><Relationship Id="rId17" Type="http://schemas.openxmlformats.org/officeDocument/2006/relationships/image" Target="../media/image4.emf"/><Relationship Id="rId2" Type="http://schemas.openxmlformats.org/officeDocument/2006/relationships/image" Target="../media/image78.emf"/><Relationship Id="rId16" Type="http://schemas.openxmlformats.org/officeDocument/2006/relationships/hyperlink" Target="#INDEX_EQUIP"/><Relationship Id="rId20" Type="http://schemas.openxmlformats.org/officeDocument/2006/relationships/hyperlink" Target="#HelpMe"/><Relationship Id="rId1" Type="http://schemas.openxmlformats.org/officeDocument/2006/relationships/image" Target="../media/image77.emf"/><Relationship Id="rId6" Type="http://schemas.openxmlformats.org/officeDocument/2006/relationships/image" Target="../media/image73.emf"/><Relationship Id="rId11" Type="http://schemas.openxmlformats.org/officeDocument/2006/relationships/image" Target="../media/image1.emf"/><Relationship Id="rId5" Type="http://schemas.openxmlformats.org/officeDocument/2006/relationships/hyperlink" Target="#'Trig-a'!C3"/><Relationship Id="rId15" Type="http://schemas.openxmlformats.org/officeDocument/2006/relationships/image" Target="../media/image3.emf"/><Relationship Id="rId23" Type="http://schemas.openxmlformats.org/officeDocument/2006/relationships/image" Target="../media/image7.png"/><Relationship Id="rId10" Type="http://schemas.openxmlformats.org/officeDocument/2006/relationships/hyperlink" Target="#Master_Index_Page"/><Relationship Id="rId19" Type="http://schemas.openxmlformats.org/officeDocument/2006/relationships/image" Target="../media/image5.png"/><Relationship Id="rId4" Type="http://schemas.openxmlformats.org/officeDocument/2006/relationships/image" Target="../media/image68.emf"/><Relationship Id="rId9" Type="http://schemas.openxmlformats.org/officeDocument/2006/relationships/image" Target="../media/image12.emf"/><Relationship Id="rId14" Type="http://schemas.openxmlformats.org/officeDocument/2006/relationships/hyperlink" Target="#INDEX_TENSION"/><Relationship Id="rId22" Type="http://schemas.openxmlformats.org/officeDocument/2006/relationships/hyperlink" Target="#Conversions"/></Relationships>
</file>

<file path=xl/drawings/_rels/drawing3.xml.rels><?xml version="1.0" encoding="UTF-8" standalone="yes"?>
<Relationships xmlns="http://schemas.openxmlformats.org/package/2006/relationships"><Relationship Id="rId8" Type="http://schemas.openxmlformats.org/officeDocument/2006/relationships/image" Target="../media/image3.emf"/><Relationship Id="rId13" Type="http://schemas.openxmlformats.org/officeDocument/2006/relationships/hyperlink" Target="#Conversions"/><Relationship Id="rId3" Type="http://schemas.openxmlformats.org/officeDocument/2006/relationships/hyperlink" Target="#Master_Index_Page"/><Relationship Id="rId7" Type="http://schemas.openxmlformats.org/officeDocument/2006/relationships/hyperlink" Target="#INDEX_TENSION"/><Relationship Id="rId12" Type="http://schemas.openxmlformats.org/officeDocument/2006/relationships/image" Target="../media/image6.png"/><Relationship Id="rId2" Type="http://schemas.openxmlformats.org/officeDocument/2006/relationships/image" Target="../media/image12.emf"/><Relationship Id="rId1" Type="http://schemas.openxmlformats.org/officeDocument/2006/relationships/hyperlink" Target="#LOGOPAGE"/><Relationship Id="rId6" Type="http://schemas.openxmlformats.org/officeDocument/2006/relationships/image" Target="../media/image2.emf"/><Relationship Id="rId11" Type="http://schemas.openxmlformats.org/officeDocument/2006/relationships/hyperlink" Target="#HelpMe"/><Relationship Id="rId5" Type="http://schemas.openxmlformats.org/officeDocument/2006/relationships/hyperlink" Target="#INDEX_WEIGHT"/><Relationship Id="rId10" Type="http://schemas.openxmlformats.org/officeDocument/2006/relationships/image" Target="../media/image4.emf"/><Relationship Id="rId4" Type="http://schemas.openxmlformats.org/officeDocument/2006/relationships/image" Target="../media/image1.emf"/><Relationship Id="rId9" Type="http://schemas.openxmlformats.org/officeDocument/2006/relationships/hyperlink" Target="#INDEX_EQUIP"/><Relationship Id="rId14" Type="http://schemas.openxmlformats.org/officeDocument/2006/relationships/image" Target="../media/image7.png"/></Relationships>
</file>

<file path=xl/drawings/_rels/drawing30.xml.rels><?xml version="1.0" encoding="UTF-8" standalone="yes"?>
<Relationships xmlns="http://schemas.openxmlformats.org/package/2006/relationships"><Relationship Id="rId8" Type="http://schemas.openxmlformats.org/officeDocument/2006/relationships/hyperlink" Target="#INDEX_WEIGHT"/><Relationship Id="rId13" Type="http://schemas.openxmlformats.org/officeDocument/2006/relationships/image" Target="../media/image4.emf"/><Relationship Id="rId18" Type="http://schemas.openxmlformats.org/officeDocument/2006/relationships/hyperlink" Target="#Conversions"/><Relationship Id="rId3" Type="http://schemas.openxmlformats.org/officeDocument/2006/relationships/image" Target="../media/image81.emf"/><Relationship Id="rId7" Type="http://schemas.openxmlformats.org/officeDocument/2006/relationships/image" Target="../media/image1.emf"/><Relationship Id="rId12" Type="http://schemas.openxmlformats.org/officeDocument/2006/relationships/hyperlink" Target="#INDEX_EQUIP"/><Relationship Id="rId17" Type="http://schemas.openxmlformats.org/officeDocument/2006/relationships/image" Target="../media/image6.png"/><Relationship Id="rId2" Type="http://schemas.openxmlformats.org/officeDocument/2006/relationships/image" Target="../media/image80.emf"/><Relationship Id="rId16" Type="http://schemas.openxmlformats.org/officeDocument/2006/relationships/hyperlink" Target="#HelpMe"/><Relationship Id="rId1" Type="http://schemas.openxmlformats.org/officeDocument/2006/relationships/image" Target="../media/image79.jpeg"/><Relationship Id="rId6" Type="http://schemas.openxmlformats.org/officeDocument/2006/relationships/hyperlink" Target="#Master_Index_Page"/><Relationship Id="rId11" Type="http://schemas.openxmlformats.org/officeDocument/2006/relationships/image" Target="../media/image3.emf"/><Relationship Id="rId5" Type="http://schemas.openxmlformats.org/officeDocument/2006/relationships/image" Target="../media/image12.emf"/><Relationship Id="rId15" Type="http://schemas.openxmlformats.org/officeDocument/2006/relationships/image" Target="../media/image5.png"/><Relationship Id="rId10" Type="http://schemas.openxmlformats.org/officeDocument/2006/relationships/hyperlink" Target="#INDEX_TENSION"/><Relationship Id="rId19" Type="http://schemas.openxmlformats.org/officeDocument/2006/relationships/image" Target="../media/image7.png"/><Relationship Id="rId4" Type="http://schemas.openxmlformats.org/officeDocument/2006/relationships/hyperlink" Target="#LOGOPAGE"/><Relationship Id="rId9" Type="http://schemas.openxmlformats.org/officeDocument/2006/relationships/image" Target="../media/image2.emf"/><Relationship Id="rId14" Type="http://schemas.openxmlformats.org/officeDocument/2006/relationships/hyperlink" Target="#CodeRef"/></Relationships>
</file>

<file path=xl/drawings/_rels/drawing31.xml.rels><?xml version="1.0" encoding="UTF-8" standalone="yes"?>
<Relationships xmlns="http://schemas.openxmlformats.org/package/2006/relationships"><Relationship Id="rId8" Type="http://schemas.openxmlformats.org/officeDocument/2006/relationships/image" Target="../media/image3.emf"/><Relationship Id="rId13" Type="http://schemas.openxmlformats.org/officeDocument/2006/relationships/hyperlink" Target="#HelpMe"/><Relationship Id="rId3" Type="http://schemas.openxmlformats.org/officeDocument/2006/relationships/hyperlink" Target="#Master_Index_Page"/><Relationship Id="rId7" Type="http://schemas.openxmlformats.org/officeDocument/2006/relationships/hyperlink" Target="#INDEX_TENSION"/><Relationship Id="rId12" Type="http://schemas.openxmlformats.org/officeDocument/2006/relationships/image" Target="../media/image5.png"/><Relationship Id="rId17" Type="http://schemas.openxmlformats.org/officeDocument/2006/relationships/image" Target="../media/image82.emf"/><Relationship Id="rId2" Type="http://schemas.openxmlformats.org/officeDocument/2006/relationships/image" Target="../media/image12.emf"/><Relationship Id="rId16" Type="http://schemas.openxmlformats.org/officeDocument/2006/relationships/image" Target="../media/image7.png"/><Relationship Id="rId1" Type="http://schemas.openxmlformats.org/officeDocument/2006/relationships/hyperlink" Target="#LOGOPAGE"/><Relationship Id="rId6" Type="http://schemas.openxmlformats.org/officeDocument/2006/relationships/image" Target="../media/image2.emf"/><Relationship Id="rId11" Type="http://schemas.openxmlformats.org/officeDocument/2006/relationships/hyperlink" Target="#CodeRef"/><Relationship Id="rId5" Type="http://schemas.openxmlformats.org/officeDocument/2006/relationships/hyperlink" Target="#INDEX_WEIGHT"/><Relationship Id="rId15" Type="http://schemas.openxmlformats.org/officeDocument/2006/relationships/hyperlink" Target="#Conversions"/><Relationship Id="rId10" Type="http://schemas.openxmlformats.org/officeDocument/2006/relationships/image" Target="../media/image4.emf"/><Relationship Id="rId4" Type="http://schemas.openxmlformats.org/officeDocument/2006/relationships/image" Target="../media/image1.emf"/><Relationship Id="rId9" Type="http://schemas.openxmlformats.org/officeDocument/2006/relationships/hyperlink" Target="#INDEX_EQUIP"/><Relationship Id="rId14" Type="http://schemas.openxmlformats.org/officeDocument/2006/relationships/image" Target="../media/image6.png"/></Relationships>
</file>

<file path=xl/drawings/_rels/drawing32.xml.rels><?xml version="1.0" encoding="UTF-8" standalone="yes"?>
<Relationships xmlns="http://schemas.openxmlformats.org/package/2006/relationships"><Relationship Id="rId8" Type="http://schemas.openxmlformats.org/officeDocument/2006/relationships/hyperlink" Target="#INDEX_TENSION"/><Relationship Id="rId13" Type="http://schemas.openxmlformats.org/officeDocument/2006/relationships/image" Target="../media/image5.png"/><Relationship Id="rId3" Type="http://schemas.openxmlformats.org/officeDocument/2006/relationships/image" Target="../media/image12.emf"/><Relationship Id="rId7" Type="http://schemas.openxmlformats.org/officeDocument/2006/relationships/image" Target="../media/image2.emf"/><Relationship Id="rId12" Type="http://schemas.openxmlformats.org/officeDocument/2006/relationships/hyperlink" Target="#CodeRef"/><Relationship Id="rId17" Type="http://schemas.openxmlformats.org/officeDocument/2006/relationships/image" Target="../media/image7.png"/><Relationship Id="rId2" Type="http://schemas.openxmlformats.org/officeDocument/2006/relationships/hyperlink" Target="#LOGOPAGE"/><Relationship Id="rId16" Type="http://schemas.openxmlformats.org/officeDocument/2006/relationships/hyperlink" Target="#Conversions"/><Relationship Id="rId1" Type="http://schemas.openxmlformats.org/officeDocument/2006/relationships/image" Target="../media/image83.emf"/><Relationship Id="rId6" Type="http://schemas.openxmlformats.org/officeDocument/2006/relationships/hyperlink" Target="#INDEX_WEIGHT"/><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png"/><Relationship Id="rId10" Type="http://schemas.openxmlformats.org/officeDocument/2006/relationships/hyperlink" Target="#INDEX_EQUIP"/><Relationship Id="rId4" Type="http://schemas.openxmlformats.org/officeDocument/2006/relationships/hyperlink" Target="#Master_Index_Page"/><Relationship Id="rId9" Type="http://schemas.openxmlformats.org/officeDocument/2006/relationships/image" Target="../media/image3.emf"/><Relationship Id="rId14" Type="http://schemas.openxmlformats.org/officeDocument/2006/relationships/hyperlink" Target="#HelpMe"/></Relationships>
</file>

<file path=xl/drawings/_rels/drawing33.xml.rels><?xml version="1.0" encoding="UTF-8" standalone="yes"?>
<Relationships xmlns="http://schemas.openxmlformats.org/package/2006/relationships"><Relationship Id="rId8" Type="http://schemas.openxmlformats.org/officeDocument/2006/relationships/hyperlink" Target="#INDEX_TENSION"/><Relationship Id="rId13" Type="http://schemas.openxmlformats.org/officeDocument/2006/relationships/image" Target="../media/image5.png"/><Relationship Id="rId3" Type="http://schemas.openxmlformats.org/officeDocument/2006/relationships/image" Target="../media/image12.emf"/><Relationship Id="rId7" Type="http://schemas.openxmlformats.org/officeDocument/2006/relationships/image" Target="../media/image2.emf"/><Relationship Id="rId12" Type="http://schemas.openxmlformats.org/officeDocument/2006/relationships/hyperlink" Target="#CodeRef"/><Relationship Id="rId17" Type="http://schemas.openxmlformats.org/officeDocument/2006/relationships/image" Target="../media/image7.png"/><Relationship Id="rId2" Type="http://schemas.openxmlformats.org/officeDocument/2006/relationships/hyperlink" Target="#LOGOPAGE"/><Relationship Id="rId16" Type="http://schemas.openxmlformats.org/officeDocument/2006/relationships/hyperlink" Target="#Conversions"/><Relationship Id="rId1" Type="http://schemas.openxmlformats.org/officeDocument/2006/relationships/image" Target="../media/image84.emf"/><Relationship Id="rId6" Type="http://schemas.openxmlformats.org/officeDocument/2006/relationships/hyperlink" Target="#INDEX_WEIGHT"/><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png"/><Relationship Id="rId10" Type="http://schemas.openxmlformats.org/officeDocument/2006/relationships/hyperlink" Target="#INDEX_EQUIP"/><Relationship Id="rId4" Type="http://schemas.openxmlformats.org/officeDocument/2006/relationships/hyperlink" Target="#Master_Index_Page"/><Relationship Id="rId9" Type="http://schemas.openxmlformats.org/officeDocument/2006/relationships/image" Target="../media/image3.emf"/><Relationship Id="rId14" Type="http://schemas.openxmlformats.org/officeDocument/2006/relationships/hyperlink" Target="#HelpMe"/></Relationships>
</file>

<file path=xl/drawings/_rels/drawing34.xml.rels><?xml version="1.0" encoding="UTF-8" standalone="yes"?>
<Relationships xmlns="http://schemas.openxmlformats.org/package/2006/relationships"><Relationship Id="rId8" Type="http://schemas.openxmlformats.org/officeDocument/2006/relationships/hyperlink" Target="#INDEX_TENSION"/><Relationship Id="rId13" Type="http://schemas.openxmlformats.org/officeDocument/2006/relationships/image" Target="../media/image5.png"/><Relationship Id="rId3" Type="http://schemas.openxmlformats.org/officeDocument/2006/relationships/image" Target="../media/image12.emf"/><Relationship Id="rId7" Type="http://schemas.openxmlformats.org/officeDocument/2006/relationships/image" Target="../media/image2.emf"/><Relationship Id="rId12" Type="http://schemas.openxmlformats.org/officeDocument/2006/relationships/hyperlink" Target="#CodeRef"/><Relationship Id="rId17" Type="http://schemas.openxmlformats.org/officeDocument/2006/relationships/image" Target="../media/image7.png"/><Relationship Id="rId2" Type="http://schemas.openxmlformats.org/officeDocument/2006/relationships/hyperlink" Target="#LOGOPAGE"/><Relationship Id="rId16" Type="http://schemas.openxmlformats.org/officeDocument/2006/relationships/hyperlink" Target="#Conversions"/><Relationship Id="rId1" Type="http://schemas.openxmlformats.org/officeDocument/2006/relationships/image" Target="../media/image85.emf"/><Relationship Id="rId6" Type="http://schemas.openxmlformats.org/officeDocument/2006/relationships/hyperlink" Target="#INDEX_WEIGHT"/><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png"/><Relationship Id="rId10" Type="http://schemas.openxmlformats.org/officeDocument/2006/relationships/hyperlink" Target="#INDEX_EQUIP"/><Relationship Id="rId4" Type="http://schemas.openxmlformats.org/officeDocument/2006/relationships/hyperlink" Target="#Master_Index_Page"/><Relationship Id="rId9" Type="http://schemas.openxmlformats.org/officeDocument/2006/relationships/image" Target="../media/image3.emf"/><Relationship Id="rId14" Type="http://schemas.openxmlformats.org/officeDocument/2006/relationships/hyperlink" Target="#HelpMe"/></Relationships>
</file>

<file path=xl/drawings/_rels/drawing35.xml.rels><?xml version="1.0" encoding="UTF-8" standalone="yes"?>
<Relationships xmlns="http://schemas.openxmlformats.org/package/2006/relationships"><Relationship Id="rId8" Type="http://schemas.openxmlformats.org/officeDocument/2006/relationships/hyperlink" Target="#INDEX_TENSION"/><Relationship Id="rId13" Type="http://schemas.openxmlformats.org/officeDocument/2006/relationships/image" Target="../media/image5.png"/><Relationship Id="rId3" Type="http://schemas.openxmlformats.org/officeDocument/2006/relationships/image" Target="../media/image12.emf"/><Relationship Id="rId7" Type="http://schemas.openxmlformats.org/officeDocument/2006/relationships/image" Target="../media/image2.emf"/><Relationship Id="rId12" Type="http://schemas.openxmlformats.org/officeDocument/2006/relationships/hyperlink" Target="#CodeRef"/><Relationship Id="rId17" Type="http://schemas.openxmlformats.org/officeDocument/2006/relationships/image" Target="../media/image7.png"/><Relationship Id="rId2" Type="http://schemas.openxmlformats.org/officeDocument/2006/relationships/hyperlink" Target="#LOGOPAGE"/><Relationship Id="rId16" Type="http://schemas.openxmlformats.org/officeDocument/2006/relationships/hyperlink" Target="#Conversions"/><Relationship Id="rId1" Type="http://schemas.openxmlformats.org/officeDocument/2006/relationships/image" Target="../media/image86.emf"/><Relationship Id="rId6" Type="http://schemas.openxmlformats.org/officeDocument/2006/relationships/hyperlink" Target="#INDEX_WEIGHT"/><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png"/><Relationship Id="rId10" Type="http://schemas.openxmlformats.org/officeDocument/2006/relationships/hyperlink" Target="#INDEX_EQUIP"/><Relationship Id="rId4" Type="http://schemas.openxmlformats.org/officeDocument/2006/relationships/hyperlink" Target="#Master_Index_Page"/><Relationship Id="rId9" Type="http://schemas.openxmlformats.org/officeDocument/2006/relationships/image" Target="../media/image3.emf"/><Relationship Id="rId14" Type="http://schemas.openxmlformats.org/officeDocument/2006/relationships/hyperlink" Target="#HelpMe"/></Relationships>
</file>

<file path=xl/drawings/_rels/drawing36.xml.rels><?xml version="1.0" encoding="UTF-8" standalone="yes"?>
<Relationships xmlns="http://schemas.openxmlformats.org/package/2006/relationships"><Relationship Id="rId8" Type="http://schemas.openxmlformats.org/officeDocument/2006/relationships/image" Target="../media/image2.emf"/><Relationship Id="rId13" Type="http://schemas.openxmlformats.org/officeDocument/2006/relationships/hyperlink" Target="#CodeRef"/><Relationship Id="rId18" Type="http://schemas.openxmlformats.org/officeDocument/2006/relationships/image" Target="../media/image7.png"/><Relationship Id="rId3" Type="http://schemas.openxmlformats.org/officeDocument/2006/relationships/hyperlink" Target="#LOGOPAGE"/><Relationship Id="rId7" Type="http://schemas.openxmlformats.org/officeDocument/2006/relationships/hyperlink" Target="#INDEX_WEIGHT"/><Relationship Id="rId12" Type="http://schemas.openxmlformats.org/officeDocument/2006/relationships/image" Target="../media/image4.emf"/><Relationship Id="rId17" Type="http://schemas.openxmlformats.org/officeDocument/2006/relationships/hyperlink" Target="#Conversions"/><Relationship Id="rId2" Type="http://schemas.openxmlformats.org/officeDocument/2006/relationships/image" Target="../media/image86.emf"/><Relationship Id="rId16" Type="http://schemas.openxmlformats.org/officeDocument/2006/relationships/image" Target="../media/image6.png"/><Relationship Id="rId1" Type="http://schemas.openxmlformats.org/officeDocument/2006/relationships/image" Target="../media/image87.emf"/><Relationship Id="rId6" Type="http://schemas.openxmlformats.org/officeDocument/2006/relationships/image" Target="../media/image1.emf"/><Relationship Id="rId11" Type="http://schemas.openxmlformats.org/officeDocument/2006/relationships/hyperlink" Target="#INDEX_EQUIP"/><Relationship Id="rId5" Type="http://schemas.openxmlformats.org/officeDocument/2006/relationships/hyperlink" Target="#Master_Index_Page"/><Relationship Id="rId15" Type="http://schemas.openxmlformats.org/officeDocument/2006/relationships/hyperlink" Target="#HelpMe"/><Relationship Id="rId10" Type="http://schemas.openxmlformats.org/officeDocument/2006/relationships/image" Target="../media/image3.emf"/><Relationship Id="rId19" Type="http://schemas.openxmlformats.org/officeDocument/2006/relationships/image" Target="../media/image88.emf"/><Relationship Id="rId4" Type="http://schemas.openxmlformats.org/officeDocument/2006/relationships/image" Target="../media/image12.emf"/><Relationship Id="rId9" Type="http://schemas.openxmlformats.org/officeDocument/2006/relationships/hyperlink" Target="#INDEX_TENSION"/><Relationship Id="rId14" Type="http://schemas.openxmlformats.org/officeDocument/2006/relationships/image" Target="../media/image5.png"/></Relationships>
</file>

<file path=xl/drawings/_rels/drawing37.xml.rels><?xml version="1.0" encoding="UTF-8" standalone="yes"?>
<Relationships xmlns="http://schemas.openxmlformats.org/package/2006/relationships"><Relationship Id="rId8" Type="http://schemas.openxmlformats.org/officeDocument/2006/relationships/hyperlink" Target="#Master_Index_Page"/><Relationship Id="rId13" Type="http://schemas.openxmlformats.org/officeDocument/2006/relationships/image" Target="../media/image3.emf"/><Relationship Id="rId18" Type="http://schemas.openxmlformats.org/officeDocument/2006/relationships/hyperlink" Target="#HelpMe"/><Relationship Id="rId3" Type="http://schemas.openxmlformats.org/officeDocument/2006/relationships/image" Target="../media/image91.emf"/><Relationship Id="rId21" Type="http://schemas.openxmlformats.org/officeDocument/2006/relationships/image" Target="../media/image7.png"/><Relationship Id="rId7" Type="http://schemas.openxmlformats.org/officeDocument/2006/relationships/image" Target="../media/image12.emf"/><Relationship Id="rId12" Type="http://schemas.openxmlformats.org/officeDocument/2006/relationships/hyperlink" Target="#INDEX_TENSION"/><Relationship Id="rId17" Type="http://schemas.openxmlformats.org/officeDocument/2006/relationships/image" Target="../media/image5.png"/><Relationship Id="rId2" Type="http://schemas.openxmlformats.org/officeDocument/2006/relationships/image" Target="../media/image90.emf"/><Relationship Id="rId16" Type="http://schemas.openxmlformats.org/officeDocument/2006/relationships/hyperlink" Target="#CodeRef"/><Relationship Id="rId20" Type="http://schemas.openxmlformats.org/officeDocument/2006/relationships/hyperlink" Target="#Conversions"/><Relationship Id="rId1" Type="http://schemas.openxmlformats.org/officeDocument/2006/relationships/image" Target="../media/image89.emf"/><Relationship Id="rId6" Type="http://schemas.openxmlformats.org/officeDocument/2006/relationships/hyperlink" Target="#LOGOPAGE"/><Relationship Id="rId11" Type="http://schemas.openxmlformats.org/officeDocument/2006/relationships/image" Target="../media/image2.emf"/><Relationship Id="rId5" Type="http://schemas.openxmlformats.org/officeDocument/2006/relationships/image" Target="../media/image93.emf"/><Relationship Id="rId15" Type="http://schemas.openxmlformats.org/officeDocument/2006/relationships/image" Target="../media/image4.emf"/><Relationship Id="rId10" Type="http://schemas.openxmlformats.org/officeDocument/2006/relationships/hyperlink" Target="#INDEX_WEIGHT"/><Relationship Id="rId19" Type="http://schemas.openxmlformats.org/officeDocument/2006/relationships/image" Target="../media/image6.png"/><Relationship Id="rId4" Type="http://schemas.openxmlformats.org/officeDocument/2006/relationships/image" Target="../media/image92.emf"/><Relationship Id="rId9" Type="http://schemas.openxmlformats.org/officeDocument/2006/relationships/image" Target="../media/image1.emf"/><Relationship Id="rId14" Type="http://schemas.openxmlformats.org/officeDocument/2006/relationships/hyperlink" Target="#INDEX_EQUIP"/></Relationships>
</file>

<file path=xl/drawings/_rels/drawing38.xml.rels><?xml version="1.0" encoding="UTF-8" standalone="yes"?>
<Relationships xmlns="http://schemas.openxmlformats.org/package/2006/relationships"><Relationship Id="rId8" Type="http://schemas.openxmlformats.org/officeDocument/2006/relationships/image" Target="../media/image1.emf"/><Relationship Id="rId13" Type="http://schemas.openxmlformats.org/officeDocument/2006/relationships/hyperlink" Target="#INDEX_EQUIP"/><Relationship Id="rId18" Type="http://schemas.openxmlformats.org/officeDocument/2006/relationships/image" Target="../media/image6.png"/><Relationship Id="rId3" Type="http://schemas.openxmlformats.org/officeDocument/2006/relationships/image" Target="../media/image96.emf"/><Relationship Id="rId7" Type="http://schemas.openxmlformats.org/officeDocument/2006/relationships/hyperlink" Target="#Master_Index_Page"/><Relationship Id="rId12" Type="http://schemas.openxmlformats.org/officeDocument/2006/relationships/image" Target="../media/image3.emf"/><Relationship Id="rId17" Type="http://schemas.openxmlformats.org/officeDocument/2006/relationships/hyperlink" Target="#HelpMe"/><Relationship Id="rId2" Type="http://schemas.openxmlformats.org/officeDocument/2006/relationships/image" Target="../media/image95.emf"/><Relationship Id="rId16" Type="http://schemas.openxmlformats.org/officeDocument/2006/relationships/image" Target="../media/image5.png"/><Relationship Id="rId20" Type="http://schemas.openxmlformats.org/officeDocument/2006/relationships/image" Target="../media/image7.png"/><Relationship Id="rId1" Type="http://schemas.openxmlformats.org/officeDocument/2006/relationships/image" Target="../media/image94.emf"/><Relationship Id="rId6" Type="http://schemas.openxmlformats.org/officeDocument/2006/relationships/image" Target="../media/image12.emf"/><Relationship Id="rId11" Type="http://schemas.openxmlformats.org/officeDocument/2006/relationships/hyperlink" Target="#INDEX_TENSION"/><Relationship Id="rId5" Type="http://schemas.openxmlformats.org/officeDocument/2006/relationships/hyperlink" Target="#LOGOPAGE"/><Relationship Id="rId15" Type="http://schemas.openxmlformats.org/officeDocument/2006/relationships/hyperlink" Target="#CodeRef"/><Relationship Id="rId10" Type="http://schemas.openxmlformats.org/officeDocument/2006/relationships/image" Target="../media/image2.emf"/><Relationship Id="rId19" Type="http://schemas.openxmlformats.org/officeDocument/2006/relationships/hyperlink" Target="#Conversions"/><Relationship Id="rId4" Type="http://schemas.openxmlformats.org/officeDocument/2006/relationships/image" Target="../media/image97.emf"/><Relationship Id="rId9" Type="http://schemas.openxmlformats.org/officeDocument/2006/relationships/hyperlink" Target="#INDEX_WEIGHT"/><Relationship Id="rId14" Type="http://schemas.openxmlformats.org/officeDocument/2006/relationships/image" Target="../media/image4.emf"/></Relationships>
</file>

<file path=xl/drawings/_rels/drawing39.xml.rels><?xml version="1.0" encoding="UTF-8" standalone="yes"?>
<Relationships xmlns="http://schemas.openxmlformats.org/package/2006/relationships"><Relationship Id="rId8" Type="http://schemas.openxmlformats.org/officeDocument/2006/relationships/image" Target="../media/image12.emf"/><Relationship Id="rId13" Type="http://schemas.openxmlformats.org/officeDocument/2006/relationships/hyperlink" Target="#INDEX_TENSION"/><Relationship Id="rId18" Type="http://schemas.openxmlformats.org/officeDocument/2006/relationships/image" Target="../media/image5.png"/><Relationship Id="rId3" Type="http://schemas.openxmlformats.org/officeDocument/2006/relationships/image" Target="../media/image100.emf"/><Relationship Id="rId21" Type="http://schemas.openxmlformats.org/officeDocument/2006/relationships/hyperlink" Target="#Conversions"/><Relationship Id="rId7" Type="http://schemas.openxmlformats.org/officeDocument/2006/relationships/hyperlink" Target="#LOGOPAGE"/><Relationship Id="rId12" Type="http://schemas.openxmlformats.org/officeDocument/2006/relationships/image" Target="../media/image2.emf"/><Relationship Id="rId17" Type="http://schemas.openxmlformats.org/officeDocument/2006/relationships/hyperlink" Target="#CodeRef"/><Relationship Id="rId2" Type="http://schemas.openxmlformats.org/officeDocument/2006/relationships/image" Target="../media/image99.emf"/><Relationship Id="rId16" Type="http://schemas.openxmlformats.org/officeDocument/2006/relationships/image" Target="../media/image4.emf"/><Relationship Id="rId20" Type="http://schemas.openxmlformats.org/officeDocument/2006/relationships/image" Target="../media/image6.png"/><Relationship Id="rId1" Type="http://schemas.openxmlformats.org/officeDocument/2006/relationships/image" Target="../media/image98.emf"/><Relationship Id="rId6" Type="http://schemas.openxmlformats.org/officeDocument/2006/relationships/image" Target="../media/image103.emf"/><Relationship Id="rId11" Type="http://schemas.openxmlformats.org/officeDocument/2006/relationships/hyperlink" Target="#INDEX_WEIGHT"/><Relationship Id="rId5" Type="http://schemas.openxmlformats.org/officeDocument/2006/relationships/image" Target="../media/image102.emf"/><Relationship Id="rId15" Type="http://schemas.openxmlformats.org/officeDocument/2006/relationships/hyperlink" Target="#INDEX_EQUIP"/><Relationship Id="rId10" Type="http://schemas.openxmlformats.org/officeDocument/2006/relationships/image" Target="../media/image1.emf"/><Relationship Id="rId19" Type="http://schemas.openxmlformats.org/officeDocument/2006/relationships/hyperlink" Target="#HelpMe"/><Relationship Id="rId4" Type="http://schemas.openxmlformats.org/officeDocument/2006/relationships/image" Target="../media/image101.emf"/><Relationship Id="rId9" Type="http://schemas.openxmlformats.org/officeDocument/2006/relationships/hyperlink" Target="#Master_Index_Page"/><Relationship Id="rId14" Type="http://schemas.openxmlformats.org/officeDocument/2006/relationships/image" Target="../media/image3.emf"/><Relationship Id="rId22"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4.emf"/><Relationship Id="rId13" Type="http://schemas.openxmlformats.org/officeDocument/2006/relationships/hyperlink" Target="#Conversions"/><Relationship Id="rId3" Type="http://schemas.openxmlformats.org/officeDocument/2006/relationships/hyperlink" Target="#INDEX_WEIGHT"/><Relationship Id="rId7" Type="http://schemas.openxmlformats.org/officeDocument/2006/relationships/hyperlink" Target="#INDEX_EQUIP"/><Relationship Id="rId12" Type="http://schemas.openxmlformats.org/officeDocument/2006/relationships/image" Target="../media/image6.png"/><Relationship Id="rId2" Type="http://schemas.openxmlformats.org/officeDocument/2006/relationships/image" Target="../media/image12.emf"/><Relationship Id="rId1" Type="http://schemas.openxmlformats.org/officeDocument/2006/relationships/hyperlink" Target="#LOGOPAGE"/><Relationship Id="rId6" Type="http://schemas.openxmlformats.org/officeDocument/2006/relationships/image" Target="../media/image3.emf"/><Relationship Id="rId11" Type="http://schemas.openxmlformats.org/officeDocument/2006/relationships/hyperlink" Target="#HelpMe"/><Relationship Id="rId5" Type="http://schemas.openxmlformats.org/officeDocument/2006/relationships/hyperlink" Target="#INDEX_TENSION"/><Relationship Id="rId10" Type="http://schemas.openxmlformats.org/officeDocument/2006/relationships/image" Target="../media/image5.png"/><Relationship Id="rId4" Type="http://schemas.openxmlformats.org/officeDocument/2006/relationships/image" Target="../media/image2.emf"/><Relationship Id="rId9" Type="http://schemas.openxmlformats.org/officeDocument/2006/relationships/hyperlink" Target="#CodeRef"/><Relationship Id="rId14" Type="http://schemas.openxmlformats.org/officeDocument/2006/relationships/image" Target="../media/image7.png"/></Relationships>
</file>

<file path=xl/drawings/_rels/drawing40.xml.rels><?xml version="1.0" encoding="UTF-8" standalone="yes"?>
<Relationships xmlns="http://schemas.openxmlformats.org/package/2006/relationships"><Relationship Id="rId8" Type="http://schemas.openxmlformats.org/officeDocument/2006/relationships/image" Target="../media/image1.emf"/><Relationship Id="rId13" Type="http://schemas.openxmlformats.org/officeDocument/2006/relationships/hyperlink" Target="#INDEX_EQUIP"/><Relationship Id="rId18" Type="http://schemas.openxmlformats.org/officeDocument/2006/relationships/image" Target="../media/image6.png"/><Relationship Id="rId3" Type="http://schemas.openxmlformats.org/officeDocument/2006/relationships/image" Target="../media/image106.emf"/><Relationship Id="rId7" Type="http://schemas.openxmlformats.org/officeDocument/2006/relationships/hyperlink" Target="#Master_Index_Page"/><Relationship Id="rId12" Type="http://schemas.openxmlformats.org/officeDocument/2006/relationships/image" Target="../media/image3.emf"/><Relationship Id="rId17" Type="http://schemas.openxmlformats.org/officeDocument/2006/relationships/hyperlink" Target="#HelpMe"/><Relationship Id="rId2" Type="http://schemas.openxmlformats.org/officeDocument/2006/relationships/image" Target="../media/image105.emf"/><Relationship Id="rId16" Type="http://schemas.openxmlformats.org/officeDocument/2006/relationships/image" Target="../media/image5.png"/><Relationship Id="rId20" Type="http://schemas.openxmlformats.org/officeDocument/2006/relationships/image" Target="../media/image7.png"/><Relationship Id="rId1" Type="http://schemas.openxmlformats.org/officeDocument/2006/relationships/image" Target="../media/image104.emf"/><Relationship Id="rId6" Type="http://schemas.openxmlformats.org/officeDocument/2006/relationships/image" Target="../media/image12.emf"/><Relationship Id="rId11" Type="http://schemas.openxmlformats.org/officeDocument/2006/relationships/hyperlink" Target="#INDEX_TENSION"/><Relationship Id="rId5" Type="http://schemas.openxmlformats.org/officeDocument/2006/relationships/hyperlink" Target="#LOGOPAGE"/><Relationship Id="rId15" Type="http://schemas.openxmlformats.org/officeDocument/2006/relationships/hyperlink" Target="#CodeRef"/><Relationship Id="rId10" Type="http://schemas.openxmlformats.org/officeDocument/2006/relationships/image" Target="../media/image2.emf"/><Relationship Id="rId19" Type="http://schemas.openxmlformats.org/officeDocument/2006/relationships/hyperlink" Target="#Conversions"/><Relationship Id="rId4" Type="http://schemas.openxmlformats.org/officeDocument/2006/relationships/image" Target="../media/image107.emf"/><Relationship Id="rId9" Type="http://schemas.openxmlformats.org/officeDocument/2006/relationships/hyperlink" Target="#INDEX_WEIGHT"/><Relationship Id="rId14" Type="http://schemas.openxmlformats.org/officeDocument/2006/relationships/image" Target="../media/image4.emf"/></Relationships>
</file>

<file path=xl/drawings/_rels/drawing41.xml.rels><?xml version="1.0" encoding="UTF-8" standalone="yes"?>
<Relationships xmlns="http://schemas.openxmlformats.org/package/2006/relationships"><Relationship Id="rId8" Type="http://schemas.openxmlformats.org/officeDocument/2006/relationships/hyperlink" Target="#INDEX_WEIGHT"/><Relationship Id="rId13" Type="http://schemas.openxmlformats.org/officeDocument/2006/relationships/image" Target="../media/image4.emf"/><Relationship Id="rId18" Type="http://schemas.openxmlformats.org/officeDocument/2006/relationships/hyperlink" Target="#Conversions"/><Relationship Id="rId3" Type="http://schemas.openxmlformats.org/officeDocument/2006/relationships/image" Target="../media/image110.emf"/><Relationship Id="rId7" Type="http://schemas.openxmlformats.org/officeDocument/2006/relationships/image" Target="../media/image1.emf"/><Relationship Id="rId12" Type="http://schemas.openxmlformats.org/officeDocument/2006/relationships/hyperlink" Target="#INDEX_EQUIP"/><Relationship Id="rId17" Type="http://schemas.openxmlformats.org/officeDocument/2006/relationships/image" Target="../media/image6.png"/><Relationship Id="rId2" Type="http://schemas.openxmlformats.org/officeDocument/2006/relationships/image" Target="../media/image109.emf"/><Relationship Id="rId16" Type="http://schemas.openxmlformats.org/officeDocument/2006/relationships/hyperlink" Target="#HelpMe"/><Relationship Id="rId1" Type="http://schemas.openxmlformats.org/officeDocument/2006/relationships/image" Target="../media/image108.emf"/><Relationship Id="rId6" Type="http://schemas.openxmlformats.org/officeDocument/2006/relationships/hyperlink" Target="#Master_Index_Page"/><Relationship Id="rId11" Type="http://schemas.openxmlformats.org/officeDocument/2006/relationships/image" Target="../media/image3.emf"/><Relationship Id="rId5" Type="http://schemas.openxmlformats.org/officeDocument/2006/relationships/image" Target="../media/image12.emf"/><Relationship Id="rId15" Type="http://schemas.openxmlformats.org/officeDocument/2006/relationships/image" Target="../media/image5.png"/><Relationship Id="rId10" Type="http://schemas.openxmlformats.org/officeDocument/2006/relationships/hyperlink" Target="#INDEX_TENSION"/><Relationship Id="rId19" Type="http://schemas.openxmlformats.org/officeDocument/2006/relationships/image" Target="../media/image7.png"/><Relationship Id="rId4" Type="http://schemas.openxmlformats.org/officeDocument/2006/relationships/hyperlink" Target="#LOGOPAGE"/><Relationship Id="rId9" Type="http://schemas.openxmlformats.org/officeDocument/2006/relationships/image" Target="../media/image2.emf"/><Relationship Id="rId14" Type="http://schemas.openxmlformats.org/officeDocument/2006/relationships/hyperlink" Target="#CodeRef"/></Relationships>
</file>

<file path=xl/drawings/_rels/drawing42.xml.rels><?xml version="1.0" encoding="UTF-8" standalone="yes"?>
<Relationships xmlns="http://schemas.openxmlformats.org/package/2006/relationships"><Relationship Id="rId8" Type="http://schemas.openxmlformats.org/officeDocument/2006/relationships/hyperlink" Target="#INDEX_WEIGHT"/><Relationship Id="rId13" Type="http://schemas.openxmlformats.org/officeDocument/2006/relationships/image" Target="../media/image4.emf"/><Relationship Id="rId18" Type="http://schemas.openxmlformats.org/officeDocument/2006/relationships/hyperlink" Target="#Conversions"/><Relationship Id="rId3" Type="http://schemas.openxmlformats.org/officeDocument/2006/relationships/image" Target="../media/image113.emf"/><Relationship Id="rId7" Type="http://schemas.openxmlformats.org/officeDocument/2006/relationships/image" Target="../media/image1.emf"/><Relationship Id="rId12" Type="http://schemas.openxmlformats.org/officeDocument/2006/relationships/hyperlink" Target="#INDEX_EQUIP"/><Relationship Id="rId17" Type="http://schemas.openxmlformats.org/officeDocument/2006/relationships/image" Target="../media/image6.png"/><Relationship Id="rId2" Type="http://schemas.openxmlformats.org/officeDocument/2006/relationships/image" Target="../media/image112.emf"/><Relationship Id="rId16" Type="http://schemas.openxmlformats.org/officeDocument/2006/relationships/hyperlink" Target="#HelpMe"/><Relationship Id="rId1" Type="http://schemas.openxmlformats.org/officeDocument/2006/relationships/image" Target="../media/image111.emf"/><Relationship Id="rId6" Type="http://schemas.openxmlformats.org/officeDocument/2006/relationships/hyperlink" Target="#Master_Index_Page"/><Relationship Id="rId11" Type="http://schemas.openxmlformats.org/officeDocument/2006/relationships/image" Target="../media/image3.emf"/><Relationship Id="rId5" Type="http://schemas.openxmlformats.org/officeDocument/2006/relationships/image" Target="../media/image12.emf"/><Relationship Id="rId15" Type="http://schemas.openxmlformats.org/officeDocument/2006/relationships/image" Target="../media/image5.png"/><Relationship Id="rId10" Type="http://schemas.openxmlformats.org/officeDocument/2006/relationships/hyperlink" Target="#INDEX_TENSION"/><Relationship Id="rId19" Type="http://schemas.openxmlformats.org/officeDocument/2006/relationships/image" Target="../media/image7.png"/><Relationship Id="rId4" Type="http://schemas.openxmlformats.org/officeDocument/2006/relationships/hyperlink" Target="#LOGOPAGE"/><Relationship Id="rId9" Type="http://schemas.openxmlformats.org/officeDocument/2006/relationships/image" Target="../media/image2.emf"/><Relationship Id="rId14" Type="http://schemas.openxmlformats.org/officeDocument/2006/relationships/hyperlink" Target="#CodeRef"/></Relationships>
</file>

<file path=xl/drawings/_rels/drawing43.xml.rels><?xml version="1.0" encoding="UTF-8" standalone="yes"?>
<Relationships xmlns="http://schemas.openxmlformats.org/package/2006/relationships"><Relationship Id="rId8" Type="http://schemas.openxmlformats.org/officeDocument/2006/relationships/hyperlink" Target="#INDEX_TENSION"/><Relationship Id="rId13" Type="http://schemas.openxmlformats.org/officeDocument/2006/relationships/image" Target="../media/image5.png"/><Relationship Id="rId18" Type="http://schemas.openxmlformats.org/officeDocument/2006/relationships/image" Target="../media/image115.emf"/><Relationship Id="rId3" Type="http://schemas.openxmlformats.org/officeDocument/2006/relationships/image" Target="../media/image12.emf"/><Relationship Id="rId7" Type="http://schemas.openxmlformats.org/officeDocument/2006/relationships/image" Target="../media/image2.emf"/><Relationship Id="rId12" Type="http://schemas.openxmlformats.org/officeDocument/2006/relationships/hyperlink" Target="#CodeRef"/><Relationship Id="rId17" Type="http://schemas.openxmlformats.org/officeDocument/2006/relationships/image" Target="../media/image7.png"/><Relationship Id="rId2" Type="http://schemas.openxmlformats.org/officeDocument/2006/relationships/hyperlink" Target="#LOGOPAGE"/><Relationship Id="rId16" Type="http://schemas.openxmlformats.org/officeDocument/2006/relationships/hyperlink" Target="#Conversions"/><Relationship Id="rId1" Type="http://schemas.openxmlformats.org/officeDocument/2006/relationships/image" Target="../media/image114.emf"/><Relationship Id="rId6" Type="http://schemas.openxmlformats.org/officeDocument/2006/relationships/hyperlink" Target="#INDEX_WEIGHT"/><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png"/><Relationship Id="rId10" Type="http://schemas.openxmlformats.org/officeDocument/2006/relationships/hyperlink" Target="#INDEX_EQUIP"/><Relationship Id="rId4" Type="http://schemas.openxmlformats.org/officeDocument/2006/relationships/hyperlink" Target="#Master_Index_Page"/><Relationship Id="rId9" Type="http://schemas.openxmlformats.org/officeDocument/2006/relationships/image" Target="../media/image3.emf"/><Relationship Id="rId14" Type="http://schemas.openxmlformats.org/officeDocument/2006/relationships/hyperlink" Target="#HelpMe"/></Relationships>
</file>

<file path=xl/drawings/_rels/drawing44.xml.rels><?xml version="1.0" encoding="UTF-8" standalone="yes"?>
<Relationships xmlns="http://schemas.openxmlformats.org/package/2006/relationships"><Relationship Id="rId8" Type="http://schemas.openxmlformats.org/officeDocument/2006/relationships/hyperlink" Target="#INDEX_WEIGHT"/><Relationship Id="rId13" Type="http://schemas.openxmlformats.org/officeDocument/2006/relationships/image" Target="../media/image4.emf"/><Relationship Id="rId18" Type="http://schemas.openxmlformats.org/officeDocument/2006/relationships/hyperlink" Target="#Conversions"/><Relationship Id="rId3" Type="http://schemas.openxmlformats.org/officeDocument/2006/relationships/image" Target="../media/image118.emf"/><Relationship Id="rId7" Type="http://schemas.openxmlformats.org/officeDocument/2006/relationships/image" Target="../media/image1.emf"/><Relationship Id="rId12" Type="http://schemas.openxmlformats.org/officeDocument/2006/relationships/hyperlink" Target="#INDEX_EQUIP"/><Relationship Id="rId17" Type="http://schemas.openxmlformats.org/officeDocument/2006/relationships/image" Target="../media/image6.png"/><Relationship Id="rId2" Type="http://schemas.openxmlformats.org/officeDocument/2006/relationships/image" Target="../media/image117.emf"/><Relationship Id="rId16" Type="http://schemas.openxmlformats.org/officeDocument/2006/relationships/hyperlink" Target="#HelpMe"/><Relationship Id="rId1" Type="http://schemas.openxmlformats.org/officeDocument/2006/relationships/image" Target="../media/image116.emf"/><Relationship Id="rId6" Type="http://schemas.openxmlformats.org/officeDocument/2006/relationships/hyperlink" Target="#Master_Index_Page"/><Relationship Id="rId11" Type="http://schemas.openxmlformats.org/officeDocument/2006/relationships/image" Target="../media/image3.emf"/><Relationship Id="rId5" Type="http://schemas.openxmlformats.org/officeDocument/2006/relationships/image" Target="../media/image12.emf"/><Relationship Id="rId15" Type="http://schemas.openxmlformats.org/officeDocument/2006/relationships/image" Target="../media/image5.png"/><Relationship Id="rId10" Type="http://schemas.openxmlformats.org/officeDocument/2006/relationships/hyperlink" Target="#INDEX_TENSION"/><Relationship Id="rId19" Type="http://schemas.openxmlformats.org/officeDocument/2006/relationships/image" Target="../media/image7.png"/><Relationship Id="rId4" Type="http://schemas.openxmlformats.org/officeDocument/2006/relationships/hyperlink" Target="#LOGOPAGE"/><Relationship Id="rId9" Type="http://schemas.openxmlformats.org/officeDocument/2006/relationships/image" Target="../media/image2.emf"/><Relationship Id="rId14" Type="http://schemas.openxmlformats.org/officeDocument/2006/relationships/hyperlink" Target="#CodeRef"/></Relationships>
</file>

<file path=xl/drawings/_rels/drawing45.xml.rels><?xml version="1.0" encoding="UTF-8" standalone="yes"?>
<Relationships xmlns="http://schemas.openxmlformats.org/package/2006/relationships"><Relationship Id="rId8" Type="http://schemas.openxmlformats.org/officeDocument/2006/relationships/hyperlink" Target="#INDEX_TENSION"/><Relationship Id="rId13" Type="http://schemas.openxmlformats.org/officeDocument/2006/relationships/image" Target="../media/image5.png"/><Relationship Id="rId3" Type="http://schemas.openxmlformats.org/officeDocument/2006/relationships/image" Target="../media/image12.emf"/><Relationship Id="rId7" Type="http://schemas.openxmlformats.org/officeDocument/2006/relationships/image" Target="../media/image2.emf"/><Relationship Id="rId12" Type="http://schemas.openxmlformats.org/officeDocument/2006/relationships/hyperlink" Target="#CodeRef"/><Relationship Id="rId17" Type="http://schemas.openxmlformats.org/officeDocument/2006/relationships/image" Target="../media/image7.png"/><Relationship Id="rId2" Type="http://schemas.openxmlformats.org/officeDocument/2006/relationships/hyperlink" Target="#LOGOPAGE"/><Relationship Id="rId16" Type="http://schemas.openxmlformats.org/officeDocument/2006/relationships/hyperlink" Target="#Conversions"/><Relationship Id="rId1" Type="http://schemas.openxmlformats.org/officeDocument/2006/relationships/image" Target="../media/image119.emf"/><Relationship Id="rId6" Type="http://schemas.openxmlformats.org/officeDocument/2006/relationships/hyperlink" Target="#INDEX_WEIGHT"/><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png"/><Relationship Id="rId10" Type="http://schemas.openxmlformats.org/officeDocument/2006/relationships/hyperlink" Target="#INDEX_EQUIP"/><Relationship Id="rId4" Type="http://schemas.openxmlformats.org/officeDocument/2006/relationships/hyperlink" Target="#Master_Index_Page"/><Relationship Id="rId9" Type="http://schemas.openxmlformats.org/officeDocument/2006/relationships/image" Target="../media/image3.emf"/><Relationship Id="rId14" Type="http://schemas.openxmlformats.org/officeDocument/2006/relationships/hyperlink" Target="#HelpMe"/></Relationships>
</file>

<file path=xl/drawings/_rels/drawing46.xml.rels><?xml version="1.0" encoding="UTF-8" standalone="yes"?>
<Relationships xmlns="http://schemas.openxmlformats.org/package/2006/relationships"><Relationship Id="rId3" Type="http://schemas.openxmlformats.org/officeDocument/2006/relationships/image" Target="../media/image122.png"/><Relationship Id="rId7" Type="http://schemas.openxmlformats.org/officeDocument/2006/relationships/image" Target="../media/image126.png"/><Relationship Id="rId2" Type="http://schemas.openxmlformats.org/officeDocument/2006/relationships/image" Target="../media/image121.png"/><Relationship Id="rId1" Type="http://schemas.openxmlformats.org/officeDocument/2006/relationships/image" Target="../media/image120.png"/><Relationship Id="rId6" Type="http://schemas.openxmlformats.org/officeDocument/2006/relationships/image" Target="../media/image125.png"/><Relationship Id="rId5" Type="http://schemas.openxmlformats.org/officeDocument/2006/relationships/image" Target="../media/image124.png"/><Relationship Id="rId4" Type="http://schemas.openxmlformats.org/officeDocument/2006/relationships/image" Target="../media/image123.png"/></Relationships>
</file>

<file path=xl/drawings/_rels/drawing47.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hyperlink" Target="#Master_Index_Page"/><Relationship Id="rId7" Type="http://schemas.openxmlformats.org/officeDocument/2006/relationships/hyperlink" Target="#INDEX_TENSION"/><Relationship Id="rId2" Type="http://schemas.openxmlformats.org/officeDocument/2006/relationships/image" Target="../media/image12.emf"/><Relationship Id="rId1" Type="http://schemas.openxmlformats.org/officeDocument/2006/relationships/hyperlink" Target="#LOGOPAGE"/><Relationship Id="rId6" Type="http://schemas.openxmlformats.org/officeDocument/2006/relationships/image" Target="../media/image2.emf"/><Relationship Id="rId5" Type="http://schemas.openxmlformats.org/officeDocument/2006/relationships/hyperlink" Target="#INDEX_WEIGHT"/><Relationship Id="rId10" Type="http://schemas.openxmlformats.org/officeDocument/2006/relationships/image" Target="../media/image4.emf"/><Relationship Id="rId4" Type="http://schemas.openxmlformats.org/officeDocument/2006/relationships/image" Target="../media/image1.emf"/><Relationship Id="rId9" Type="http://schemas.openxmlformats.org/officeDocument/2006/relationships/hyperlink" Target="#INDEX_EQUIP"/></Relationships>
</file>

<file path=xl/drawings/_rels/drawing48.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hyperlink" Target="#Master_Index_Page"/><Relationship Id="rId7" Type="http://schemas.openxmlformats.org/officeDocument/2006/relationships/hyperlink" Target="#INDEX_TENSION"/><Relationship Id="rId2" Type="http://schemas.openxmlformats.org/officeDocument/2006/relationships/image" Target="../media/image12.emf"/><Relationship Id="rId1" Type="http://schemas.openxmlformats.org/officeDocument/2006/relationships/hyperlink" Target="#LOGOPAGE"/><Relationship Id="rId6" Type="http://schemas.openxmlformats.org/officeDocument/2006/relationships/image" Target="../media/image2.emf"/><Relationship Id="rId5" Type="http://schemas.openxmlformats.org/officeDocument/2006/relationships/hyperlink" Target="#INDEX_WEIGHT"/><Relationship Id="rId10" Type="http://schemas.openxmlformats.org/officeDocument/2006/relationships/image" Target="../media/image4.emf"/><Relationship Id="rId4" Type="http://schemas.openxmlformats.org/officeDocument/2006/relationships/image" Target="../media/image1.emf"/><Relationship Id="rId9" Type="http://schemas.openxmlformats.org/officeDocument/2006/relationships/hyperlink" Target="#INDEX_EQUIP"/></Relationships>
</file>

<file path=xl/drawings/_rels/drawing49.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hyperlink" Target="#Master_Index_Page"/><Relationship Id="rId7" Type="http://schemas.openxmlformats.org/officeDocument/2006/relationships/hyperlink" Target="#INDEX_TENSION"/><Relationship Id="rId2" Type="http://schemas.openxmlformats.org/officeDocument/2006/relationships/image" Target="../media/image12.emf"/><Relationship Id="rId1" Type="http://schemas.openxmlformats.org/officeDocument/2006/relationships/hyperlink" Target="#LOGOPAGE"/><Relationship Id="rId6" Type="http://schemas.openxmlformats.org/officeDocument/2006/relationships/image" Target="../media/image2.emf"/><Relationship Id="rId5" Type="http://schemas.openxmlformats.org/officeDocument/2006/relationships/hyperlink" Target="#INDEX_WEIGHT"/><Relationship Id="rId10" Type="http://schemas.openxmlformats.org/officeDocument/2006/relationships/image" Target="../media/image4.emf"/><Relationship Id="rId4" Type="http://schemas.openxmlformats.org/officeDocument/2006/relationships/image" Target="../media/image1.emf"/><Relationship Id="rId9" Type="http://schemas.openxmlformats.org/officeDocument/2006/relationships/hyperlink" Target="#INDEX_EQUIP"/></Relationships>
</file>

<file path=xl/drawings/_rels/drawing5.xml.rels><?xml version="1.0" encoding="UTF-8" standalone="yes"?>
<Relationships xmlns="http://schemas.openxmlformats.org/package/2006/relationships"><Relationship Id="rId8" Type="http://schemas.openxmlformats.org/officeDocument/2006/relationships/image" Target="../media/image4.emf"/><Relationship Id="rId13" Type="http://schemas.openxmlformats.org/officeDocument/2006/relationships/image" Target="../media/image20.emf"/><Relationship Id="rId18" Type="http://schemas.openxmlformats.org/officeDocument/2006/relationships/hyperlink" Target="#Weight2"/><Relationship Id="rId26" Type="http://schemas.openxmlformats.org/officeDocument/2006/relationships/hyperlink" Target="#Weight8"/><Relationship Id="rId39" Type="http://schemas.openxmlformats.org/officeDocument/2006/relationships/image" Target="../media/image7.png"/><Relationship Id="rId3" Type="http://schemas.openxmlformats.org/officeDocument/2006/relationships/hyperlink" Target="#Master_Index_Page"/><Relationship Id="rId21" Type="http://schemas.openxmlformats.org/officeDocument/2006/relationships/image" Target="../media/image24.emf"/><Relationship Id="rId34" Type="http://schemas.openxmlformats.org/officeDocument/2006/relationships/hyperlink" Target="#CodeRef"/><Relationship Id="rId7" Type="http://schemas.openxmlformats.org/officeDocument/2006/relationships/hyperlink" Target="#INDEX_EQUIP"/><Relationship Id="rId12" Type="http://schemas.openxmlformats.org/officeDocument/2006/relationships/hyperlink" Target="#Weight9"/><Relationship Id="rId17" Type="http://schemas.openxmlformats.org/officeDocument/2006/relationships/image" Target="../media/image22.emf"/><Relationship Id="rId25" Type="http://schemas.openxmlformats.org/officeDocument/2006/relationships/image" Target="../media/image26.emf"/><Relationship Id="rId33" Type="http://schemas.openxmlformats.org/officeDocument/2006/relationships/image" Target="../media/image30.emf"/><Relationship Id="rId38" Type="http://schemas.openxmlformats.org/officeDocument/2006/relationships/hyperlink" Target="#Conversions"/><Relationship Id="rId2" Type="http://schemas.openxmlformats.org/officeDocument/2006/relationships/image" Target="../media/image12.emf"/><Relationship Id="rId16" Type="http://schemas.openxmlformats.org/officeDocument/2006/relationships/hyperlink" Target="#Weight4"/><Relationship Id="rId20" Type="http://schemas.openxmlformats.org/officeDocument/2006/relationships/hyperlink" Target="#Weight3"/><Relationship Id="rId29" Type="http://schemas.openxmlformats.org/officeDocument/2006/relationships/image" Target="../media/image28.emf"/><Relationship Id="rId1" Type="http://schemas.openxmlformats.org/officeDocument/2006/relationships/hyperlink" Target="#LOGOPAGE"/><Relationship Id="rId6" Type="http://schemas.openxmlformats.org/officeDocument/2006/relationships/image" Target="../media/image3.emf"/><Relationship Id="rId11" Type="http://schemas.openxmlformats.org/officeDocument/2006/relationships/image" Target="../media/image19.emf"/><Relationship Id="rId24" Type="http://schemas.openxmlformats.org/officeDocument/2006/relationships/hyperlink" Target="#Weight6"/><Relationship Id="rId32" Type="http://schemas.openxmlformats.org/officeDocument/2006/relationships/hyperlink" Target="#Weight12"/><Relationship Id="rId37" Type="http://schemas.openxmlformats.org/officeDocument/2006/relationships/image" Target="../media/image6.png"/><Relationship Id="rId5" Type="http://schemas.openxmlformats.org/officeDocument/2006/relationships/hyperlink" Target="#INDEX_TENSION"/><Relationship Id="rId15" Type="http://schemas.openxmlformats.org/officeDocument/2006/relationships/image" Target="../media/image21.emf"/><Relationship Id="rId23" Type="http://schemas.openxmlformats.org/officeDocument/2006/relationships/image" Target="../media/image25.emf"/><Relationship Id="rId28" Type="http://schemas.openxmlformats.org/officeDocument/2006/relationships/hyperlink" Target="#Weight11"/><Relationship Id="rId36" Type="http://schemas.openxmlformats.org/officeDocument/2006/relationships/hyperlink" Target="#HelpMe"/><Relationship Id="rId10" Type="http://schemas.openxmlformats.org/officeDocument/2006/relationships/hyperlink" Target="#Weight1"/><Relationship Id="rId19" Type="http://schemas.openxmlformats.org/officeDocument/2006/relationships/image" Target="../media/image23.emf"/><Relationship Id="rId31" Type="http://schemas.openxmlformats.org/officeDocument/2006/relationships/image" Target="../media/image29.emf"/><Relationship Id="rId4" Type="http://schemas.openxmlformats.org/officeDocument/2006/relationships/image" Target="../media/image1.emf"/><Relationship Id="rId9" Type="http://schemas.openxmlformats.org/officeDocument/2006/relationships/image" Target="../media/image18.emf"/><Relationship Id="rId14" Type="http://schemas.openxmlformats.org/officeDocument/2006/relationships/hyperlink" Target="#Weight5"/><Relationship Id="rId22" Type="http://schemas.openxmlformats.org/officeDocument/2006/relationships/hyperlink" Target="#Weight7"/><Relationship Id="rId27" Type="http://schemas.openxmlformats.org/officeDocument/2006/relationships/image" Target="../media/image27.emf"/><Relationship Id="rId30" Type="http://schemas.openxmlformats.org/officeDocument/2006/relationships/hyperlink" Target="#Weight10"/><Relationship Id="rId35" Type="http://schemas.openxmlformats.org/officeDocument/2006/relationships/image" Target="../media/image5.png"/></Relationships>
</file>

<file path=xl/drawings/_rels/drawing50.xml.rels><?xml version="1.0" encoding="UTF-8" standalone="yes"?>
<Relationships xmlns="http://schemas.openxmlformats.org/package/2006/relationships"><Relationship Id="rId8" Type="http://schemas.openxmlformats.org/officeDocument/2006/relationships/image" Target="../media/image3.emf"/><Relationship Id="rId13" Type="http://schemas.openxmlformats.org/officeDocument/2006/relationships/hyperlink" Target="#HelpMe"/><Relationship Id="rId3" Type="http://schemas.openxmlformats.org/officeDocument/2006/relationships/hyperlink" Target="#Master_Index_Page"/><Relationship Id="rId7" Type="http://schemas.openxmlformats.org/officeDocument/2006/relationships/hyperlink" Target="#INDEX_TENSION"/><Relationship Id="rId12" Type="http://schemas.openxmlformats.org/officeDocument/2006/relationships/image" Target="../media/image5.png"/><Relationship Id="rId2" Type="http://schemas.openxmlformats.org/officeDocument/2006/relationships/image" Target="../media/image12.emf"/><Relationship Id="rId1" Type="http://schemas.openxmlformats.org/officeDocument/2006/relationships/hyperlink" Target="#LOGOPAGE"/><Relationship Id="rId6" Type="http://schemas.openxmlformats.org/officeDocument/2006/relationships/image" Target="../media/image2.emf"/><Relationship Id="rId11" Type="http://schemas.openxmlformats.org/officeDocument/2006/relationships/hyperlink" Target="#CodeRef"/><Relationship Id="rId5" Type="http://schemas.openxmlformats.org/officeDocument/2006/relationships/hyperlink" Target="#INDEX_WEIGHT"/><Relationship Id="rId10" Type="http://schemas.openxmlformats.org/officeDocument/2006/relationships/image" Target="../media/image4.emf"/><Relationship Id="rId4" Type="http://schemas.openxmlformats.org/officeDocument/2006/relationships/image" Target="../media/image1.emf"/><Relationship Id="rId9" Type="http://schemas.openxmlformats.org/officeDocument/2006/relationships/hyperlink" Target="#INDEX_EQUIP"/><Relationship Id="rId14"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hyperlink" Target="#Master_Index_Page"/><Relationship Id="rId2" Type="http://schemas.openxmlformats.org/officeDocument/2006/relationships/image" Target="../media/image12.emf"/><Relationship Id="rId1" Type="http://schemas.openxmlformats.org/officeDocument/2006/relationships/hyperlink" Target="#'Logo Page'!G10"/><Relationship Id="rId6" Type="http://schemas.openxmlformats.org/officeDocument/2006/relationships/image" Target="../media/image10.png"/><Relationship Id="rId5" Type="http://schemas.openxmlformats.org/officeDocument/2006/relationships/hyperlink" Target="http://www.acratech.com/" TargetMode="External"/><Relationship Id="rId4" Type="http://schemas.openxmlformats.org/officeDocument/2006/relationships/image" Target="../media/image1.emf"/></Relationships>
</file>

<file path=xl/drawings/_rels/drawing6.xml.rels><?xml version="1.0" encoding="UTF-8" standalone="yes"?>
<Relationships xmlns="http://schemas.openxmlformats.org/package/2006/relationships"><Relationship Id="rId8" Type="http://schemas.openxmlformats.org/officeDocument/2006/relationships/image" Target="../media/image3.emf"/><Relationship Id="rId13" Type="http://schemas.openxmlformats.org/officeDocument/2006/relationships/hyperlink" Target="#'Web Shackles'!A1"/><Relationship Id="rId18" Type="http://schemas.openxmlformats.org/officeDocument/2006/relationships/image" Target="../media/image35.emf"/><Relationship Id="rId26" Type="http://schemas.openxmlformats.org/officeDocument/2006/relationships/image" Target="../media/image39.emf"/><Relationship Id="rId3" Type="http://schemas.openxmlformats.org/officeDocument/2006/relationships/hyperlink" Target="#Master_Index_Page"/><Relationship Id="rId21" Type="http://schemas.openxmlformats.org/officeDocument/2006/relationships/hyperlink" Target="#Gear3"/><Relationship Id="rId7" Type="http://schemas.openxmlformats.org/officeDocument/2006/relationships/hyperlink" Target="#INDEX_TENSION"/><Relationship Id="rId12" Type="http://schemas.openxmlformats.org/officeDocument/2006/relationships/image" Target="../media/image32.emf"/><Relationship Id="rId17" Type="http://schemas.openxmlformats.org/officeDocument/2006/relationships/hyperlink" Target="#Gear5"/><Relationship Id="rId25" Type="http://schemas.openxmlformats.org/officeDocument/2006/relationships/hyperlink" Target="#Gear4"/><Relationship Id="rId2" Type="http://schemas.openxmlformats.org/officeDocument/2006/relationships/image" Target="../media/image12.emf"/><Relationship Id="rId16" Type="http://schemas.openxmlformats.org/officeDocument/2006/relationships/image" Target="../media/image34.emf"/><Relationship Id="rId20" Type="http://schemas.openxmlformats.org/officeDocument/2006/relationships/image" Target="../media/image36.emf"/><Relationship Id="rId29" Type="http://schemas.openxmlformats.org/officeDocument/2006/relationships/hyperlink" Target="#HelpMe"/><Relationship Id="rId1" Type="http://schemas.openxmlformats.org/officeDocument/2006/relationships/hyperlink" Target="#LOGOPAGE"/><Relationship Id="rId6" Type="http://schemas.openxmlformats.org/officeDocument/2006/relationships/image" Target="../media/image2.emf"/><Relationship Id="rId11" Type="http://schemas.openxmlformats.org/officeDocument/2006/relationships/hyperlink" Target="#WideBody!A1"/><Relationship Id="rId24" Type="http://schemas.openxmlformats.org/officeDocument/2006/relationships/image" Target="../media/image38.emf"/><Relationship Id="rId32" Type="http://schemas.openxmlformats.org/officeDocument/2006/relationships/image" Target="../media/image7.png"/><Relationship Id="rId5" Type="http://schemas.openxmlformats.org/officeDocument/2006/relationships/hyperlink" Target="#INDEX_WEIGHT"/><Relationship Id="rId15" Type="http://schemas.openxmlformats.org/officeDocument/2006/relationships/hyperlink" Target="#Eyebolts!A1"/><Relationship Id="rId23" Type="http://schemas.openxmlformats.org/officeDocument/2006/relationships/hyperlink" Target="#Gear2"/><Relationship Id="rId28" Type="http://schemas.openxmlformats.org/officeDocument/2006/relationships/image" Target="../media/image5.png"/><Relationship Id="rId10" Type="http://schemas.openxmlformats.org/officeDocument/2006/relationships/image" Target="../media/image31.emf"/><Relationship Id="rId19" Type="http://schemas.openxmlformats.org/officeDocument/2006/relationships/hyperlink" Target="#Gear1"/><Relationship Id="rId31" Type="http://schemas.openxmlformats.org/officeDocument/2006/relationships/hyperlink" Target="#Conversions"/><Relationship Id="rId4" Type="http://schemas.openxmlformats.org/officeDocument/2006/relationships/image" Target="../media/image1.emf"/><Relationship Id="rId9" Type="http://schemas.openxmlformats.org/officeDocument/2006/relationships/hyperlink" Target="#Shackles!A1"/><Relationship Id="rId14" Type="http://schemas.openxmlformats.org/officeDocument/2006/relationships/image" Target="../media/image33.emf"/><Relationship Id="rId22" Type="http://schemas.openxmlformats.org/officeDocument/2006/relationships/image" Target="../media/image37.emf"/><Relationship Id="rId27" Type="http://schemas.openxmlformats.org/officeDocument/2006/relationships/hyperlink" Target="#CodeRef"/><Relationship Id="rId30" Type="http://schemas.openxmlformats.org/officeDocument/2006/relationships/image" Target="../media/image6.png"/></Relationships>
</file>

<file path=xl/drawings/_rels/drawing7.xml.rels><?xml version="1.0" encoding="UTF-8" standalone="yes"?>
<Relationships xmlns="http://schemas.openxmlformats.org/package/2006/relationships"><Relationship Id="rId8" Type="http://schemas.openxmlformats.org/officeDocument/2006/relationships/image" Target="../media/image12.emf"/><Relationship Id="rId13" Type="http://schemas.openxmlformats.org/officeDocument/2006/relationships/hyperlink" Target="#INDEX_EQUIP"/><Relationship Id="rId18" Type="http://schemas.openxmlformats.org/officeDocument/2006/relationships/image" Target="../media/image44.emf"/><Relationship Id="rId26" Type="http://schemas.openxmlformats.org/officeDocument/2006/relationships/image" Target="../media/image48.emf"/><Relationship Id="rId3" Type="http://schemas.openxmlformats.org/officeDocument/2006/relationships/hyperlink" Target="#Calc2"/><Relationship Id="rId21" Type="http://schemas.openxmlformats.org/officeDocument/2006/relationships/hyperlink" Target="#Calc8"/><Relationship Id="rId34" Type="http://schemas.openxmlformats.org/officeDocument/2006/relationships/image" Target="../media/image7.png"/><Relationship Id="rId7" Type="http://schemas.openxmlformats.org/officeDocument/2006/relationships/hyperlink" Target="#LOGOPAGE"/><Relationship Id="rId12" Type="http://schemas.openxmlformats.org/officeDocument/2006/relationships/image" Target="../media/image2.emf"/><Relationship Id="rId17" Type="http://schemas.openxmlformats.org/officeDocument/2006/relationships/hyperlink" Target="#Calc4"/><Relationship Id="rId25" Type="http://schemas.openxmlformats.org/officeDocument/2006/relationships/hyperlink" Target="#Calc6"/><Relationship Id="rId33" Type="http://schemas.openxmlformats.org/officeDocument/2006/relationships/hyperlink" Target="#Conversions"/><Relationship Id="rId2" Type="http://schemas.openxmlformats.org/officeDocument/2006/relationships/image" Target="../media/image40.emf"/><Relationship Id="rId16" Type="http://schemas.openxmlformats.org/officeDocument/2006/relationships/image" Target="../media/image43.emf"/><Relationship Id="rId20" Type="http://schemas.openxmlformats.org/officeDocument/2006/relationships/image" Target="../media/image45.emf"/><Relationship Id="rId29" Type="http://schemas.openxmlformats.org/officeDocument/2006/relationships/hyperlink" Target="#CodeRef"/><Relationship Id="rId1" Type="http://schemas.openxmlformats.org/officeDocument/2006/relationships/hyperlink" Target="#Calc1"/><Relationship Id="rId6" Type="http://schemas.openxmlformats.org/officeDocument/2006/relationships/image" Target="../media/image42.emf"/><Relationship Id="rId11" Type="http://schemas.openxmlformats.org/officeDocument/2006/relationships/hyperlink" Target="#INDEX_WEIGHT"/><Relationship Id="rId24" Type="http://schemas.openxmlformats.org/officeDocument/2006/relationships/image" Target="../media/image47.emf"/><Relationship Id="rId32" Type="http://schemas.openxmlformats.org/officeDocument/2006/relationships/image" Target="../media/image6.png"/><Relationship Id="rId5" Type="http://schemas.openxmlformats.org/officeDocument/2006/relationships/hyperlink" Target="#Calc3"/><Relationship Id="rId15" Type="http://schemas.openxmlformats.org/officeDocument/2006/relationships/hyperlink" Target="#Calc7"/><Relationship Id="rId23" Type="http://schemas.openxmlformats.org/officeDocument/2006/relationships/hyperlink" Target="#Calc10"/><Relationship Id="rId28" Type="http://schemas.openxmlformats.org/officeDocument/2006/relationships/image" Target="../media/image49.emf"/><Relationship Id="rId10" Type="http://schemas.openxmlformats.org/officeDocument/2006/relationships/image" Target="../media/image1.emf"/><Relationship Id="rId19" Type="http://schemas.openxmlformats.org/officeDocument/2006/relationships/hyperlink" Target="#Calc5"/><Relationship Id="rId31" Type="http://schemas.openxmlformats.org/officeDocument/2006/relationships/hyperlink" Target="#HelpMe"/><Relationship Id="rId4" Type="http://schemas.openxmlformats.org/officeDocument/2006/relationships/image" Target="../media/image41.emf"/><Relationship Id="rId9" Type="http://schemas.openxmlformats.org/officeDocument/2006/relationships/hyperlink" Target="#Master_Index_Page"/><Relationship Id="rId14" Type="http://schemas.openxmlformats.org/officeDocument/2006/relationships/image" Target="../media/image4.emf"/><Relationship Id="rId22" Type="http://schemas.openxmlformats.org/officeDocument/2006/relationships/image" Target="../media/image46.emf"/><Relationship Id="rId27" Type="http://schemas.openxmlformats.org/officeDocument/2006/relationships/hyperlink" Target="#Calc9"/><Relationship Id="rId30" Type="http://schemas.openxmlformats.org/officeDocument/2006/relationships/image" Target="../media/image5.png"/></Relationships>
</file>

<file path=xl/drawings/_rels/drawing8.xml.rels><?xml version="1.0" encoding="UTF-8" standalone="yes"?>
<Relationships xmlns="http://schemas.openxmlformats.org/package/2006/relationships"><Relationship Id="rId8" Type="http://schemas.openxmlformats.org/officeDocument/2006/relationships/image" Target="../media/image3.emf"/><Relationship Id="rId13" Type="http://schemas.openxmlformats.org/officeDocument/2006/relationships/hyperlink" Target="#HelpMe"/><Relationship Id="rId3" Type="http://schemas.openxmlformats.org/officeDocument/2006/relationships/hyperlink" Target="#Master_Index_Page"/><Relationship Id="rId7" Type="http://schemas.openxmlformats.org/officeDocument/2006/relationships/hyperlink" Target="#INDEX_TENSION"/><Relationship Id="rId12" Type="http://schemas.openxmlformats.org/officeDocument/2006/relationships/image" Target="../media/image5.png"/><Relationship Id="rId2" Type="http://schemas.openxmlformats.org/officeDocument/2006/relationships/image" Target="../media/image12.emf"/><Relationship Id="rId1" Type="http://schemas.openxmlformats.org/officeDocument/2006/relationships/hyperlink" Target="#LOGOPAGE"/><Relationship Id="rId6" Type="http://schemas.openxmlformats.org/officeDocument/2006/relationships/image" Target="../media/image2.emf"/><Relationship Id="rId11" Type="http://schemas.openxmlformats.org/officeDocument/2006/relationships/hyperlink" Target="#CodeRef"/><Relationship Id="rId5" Type="http://schemas.openxmlformats.org/officeDocument/2006/relationships/hyperlink" Target="#INDEX_WEIGHT"/><Relationship Id="rId10" Type="http://schemas.openxmlformats.org/officeDocument/2006/relationships/image" Target="../media/image4.emf"/><Relationship Id="rId4" Type="http://schemas.openxmlformats.org/officeDocument/2006/relationships/image" Target="../media/image1.emf"/><Relationship Id="rId9" Type="http://schemas.openxmlformats.org/officeDocument/2006/relationships/hyperlink" Target="#INDEX_EQUIP"/><Relationship Id="rId14" Type="http://schemas.openxmlformats.org/officeDocument/2006/relationships/image" Target="../media/image6.png"/></Relationships>
</file>

<file path=xl/drawings/_rels/drawing9.xml.rels><?xml version="1.0" encoding="UTF-8" standalone="yes"?>
<Relationships xmlns="http://schemas.openxmlformats.org/package/2006/relationships"><Relationship Id="rId8" Type="http://schemas.openxmlformats.org/officeDocument/2006/relationships/hyperlink" Target="#INDEX_TENSION"/><Relationship Id="rId13" Type="http://schemas.openxmlformats.org/officeDocument/2006/relationships/image" Target="../media/image5.png"/><Relationship Id="rId3" Type="http://schemas.openxmlformats.org/officeDocument/2006/relationships/image" Target="../media/image12.emf"/><Relationship Id="rId7" Type="http://schemas.openxmlformats.org/officeDocument/2006/relationships/image" Target="../media/image2.emf"/><Relationship Id="rId12" Type="http://schemas.openxmlformats.org/officeDocument/2006/relationships/hyperlink" Target="#CodeRef"/><Relationship Id="rId17" Type="http://schemas.openxmlformats.org/officeDocument/2006/relationships/image" Target="../media/image7.png"/><Relationship Id="rId2" Type="http://schemas.openxmlformats.org/officeDocument/2006/relationships/hyperlink" Target="#LOGOPAGE"/><Relationship Id="rId16" Type="http://schemas.openxmlformats.org/officeDocument/2006/relationships/hyperlink" Target="#Conversions"/><Relationship Id="rId1" Type="http://schemas.openxmlformats.org/officeDocument/2006/relationships/image" Target="../media/image50.emf"/><Relationship Id="rId6" Type="http://schemas.openxmlformats.org/officeDocument/2006/relationships/hyperlink" Target="#INDEX_WEIGHT"/><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png"/><Relationship Id="rId10" Type="http://schemas.openxmlformats.org/officeDocument/2006/relationships/hyperlink" Target="#INDEX_EQUIP"/><Relationship Id="rId4" Type="http://schemas.openxmlformats.org/officeDocument/2006/relationships/hyperlink" Target="#Master_Index_Page"/><Relationship Id="rId9" Type="http://schemas.openxmlformats.org/officeDocument/2006/relationships/image" Target="../media/image3.emf"/><Relationship Id="rId14" Type="http://schemas.openxmlformats.org/officeDocument/2006/relationships/hyperlink" Target="#HelpMe"/></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jpe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21.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25.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27.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29.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31.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33.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35.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37.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39.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41.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43.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44.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45.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46.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48.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50.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52.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54.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56.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58.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6.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60.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62.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64.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66.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68.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70.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72.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74.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76.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78.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_rels/vmlDrawing9.v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7.jpeg"/><Relationship Id="rId1" Type="http://schemas.openxmlformats.org/officeDocument/2006/relationships/image" Target="../media/image16.jpeg"/></Relationships>
</file>

<file path=xl/drawings/drawing1.xml><?xml version="1.0" encoding="utf-8"?>
<xdr:wsDr xmlns:xdr="http://schemas.openxmlformats.org/drawingml/2006/spreadsheetDrawing" xmlns:a="http://schemas.openxmlformats.org/drawingml/2006/main">
  <xdr:twoCellAnchor>
    <xdr:from>
      <xdr:col>0</xdr:col>
      <xdr:colOff>142875</xdr:colOff>
      <xdr:row>24</xdr:row>
      <xdr:rowOff>19050</xdr:rowOff>
    </xdr:from>
    <xdr:to>
      <xdr:col>7</xdr:col>
      <xdr:colOff>1047750</xdr:colOff>
      <xdr:row>32</xdr:row>
      <xdr:rowOff>19050</xdr:rowOff>
    </xdr:to>
    <xdr:sp macro="" textlink="">
      <xdr:nvSpPr>
        <xdr:cNvPr id="23557" name="Text Box 5"/>
        <xdr:cNvSpPr txBox="1">
          <a:spLocks noChangeArrowheads="1"/>
        </xdr:cNvSpPr>
      </xdr:nvSpPr>
      <xdr:spPr bwMode="auto">
        <a:xfrm>
          <a:off x="142875" y="4086225"/>
          <a:ext cx="5324475" cy="13335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GB" sz="800" b="0" i="0" u="none" strike="noStrike" baseline="0">
              <a:solidFill>
                <a:srgbClr val="000000"/>
              </a:solidFill>
              <a:latin typeface="Arial"/>
              <a:cs typeface="Arial"/>
            </a:rPr>
            <a:t>Disclaimer: </a:t>
          </a:r>
        </a:p>
        <a:p>
          <a:pPr algn="ctr" rtl="0">
            <a:defRPr sz="1000"/>
          </a:pPr>
          <a:r>
            <a:rPr lang="en-GB" sz="800" b="0" i="0" u="none" strike="noStrike" baseline="0">
              <a:solidFill>
                <a:srgbClr val="000000"/>
              </a:solidFill>
              <a:latin typeface="Arial"/>
              <a:cs typeface="Arial"/>
            </a:rPr>
            <a:t>The publisher and author of this program accepts no responsibility for damages resulting from the use of this product and makes no warranty or representation, either express or implied, including but not limited to, any implied warranty of merchantability or fitness for a particular purpose. This software is provided "AS IS", and you, its user, assume all risks when using it.</a:t>
          </a:r>
        </a:p>
        <a:p>
          <a:pPr algn="ctr" rtl="0">
            <a:defRPr sz="1000"/>
          </a:pPr>
          <a:r>
            <a:rPr lang="en-GB" sz="800" b="1" i="0" u="none" strike="noStrike" baseline="0">
              <a:solidFill>
                <a:srgbClr val="000000"/>
              </a:solidFill>
              <a:latin typeface="Arial"/>
              <a:cs typeface="Arial"/>
            </a:rPr>
            <a:t>The user of this software must have an understanding of rigging concepts and practices before using this application.  Training and education in rigging application and equipment is essential for the proper use of this software and use of any type of rigging equipment. </a:t>
          </a:r>
        </a:p>
      </xdr:txBody>
    </xdr:sp>
    <xdr:clientData/>
  </xdr:twoCellAnchor>
  <xdr:twoCellAnchor editAs="absolute">
    <xdr:from>
      <xdr:col>0</xdr:col>
      <xdr:colOff>85725</xdr:colOff>
      <xdr:row>7</xdr:row>
      <xdr:rowOff>47625</xdr:rowOff>
    </xdr:from>
    <xdr:to>
      <xdr:col>1</xdr:col>
      <xdr:colOff>352425</xdr:colOff>
      <xdr:row>8</xdr:row>
      <xdr:rowOff>142875</xdr:rowOff>
    </xdr:to>
    <xdr:pic>
      <xdr:nvPicPr>
        <xdr:cNvPr id="23625" name="Picture 11">
          <a:hlinkClick xmlns:r="http://schemas.openxmlformats.org/officeDocument/2006/relationships" r:id="rId1" tooltip="Master Index"/>
        </xdr:cNvPr>
        <xdr:cNvPicPr>
          <a:picLocks noChangeAspect="1" noChangeArrowheads="1"/>
        </xdr:cNvPicPr>
      </xdr:nvPicPr>
      <xdr:blipFill>
        <a:blip xmlns:r="http://schemas.openxmlformats.org/officeDocument/2006/relationships" r:embed="rId2" cstate="print"/>
        <a:srcRect/>
        <a:stretch>
          <a:fillRect/>
        </a:stretch>
      </xdr:blipFill>
      <xdr:spPr bwMode="auto">
        <a:xfrm>
          <a:off x="85725" y="1276350"/>
          <a:ext cx="876300" cy="257175"/>
        </a:xfrm>
        <a:prstGeom prst="rect">
          <a:avLst/>
        </a:prstGeom>
        <a:noFill/>
        <a:ln w="9525">
          <a:noFill/>
          <a:miter lim="800000"/>
          <a:headEnd/>
          <a:tailEnd/>
        </a:ln>
      </xdr:spPr>
    </xdr:pic>
    <xdr:clientData fLocksWithSheet="0" fPrintsWithSheet="0"/>
  </xdr:twoCellAnchor>
  <xdr:twoCellAnchor editAs="absolute">
    <xdr:from>
      <xdr:col>0</xdr:col>
      <xdr:colOff>85725</xdr:colOff>
      <xdr:row>9</xdr:row>
      <xdr:rowOff>9525</xdr:rowOff>
    </xdr:from>
    <xdr:to>
      <xdr:col>1</xdr:col>
      <xdr:colOff>352425</xdr:colOff>
      <xdr:row>10</xdr:row>
      <xdr:rowOff>104775</xdr:rowOff>
    </xdr:to>
    <xdr:pic>
      <xdr:nvPicPr>
        <xdr:cNvPr id="23626" name="Picture 12">
          <a:hlinkClick xmlns:r="http://schemas.openxmlformats.org/officeDocument/2006/relationships" r:id="rId3" tooltip="Estimate Weights"/>
        </xdr:cNvPr>
        <xdr:cNvPicPr>
          <a:picLocks noChangeAspect="1" noChangeArrowheads="1"/>
        </xdr:cNvPicPr>
      </xdr:nvPicPr>
      <xdr:blipFill>
        <a:blip xmlns:r="http://schemas.openxmlformats.org/officeDocument/2006/relationships" r:embed="rId4" cstate="print"/>
        <a:srcRect/>
        <a:stretch>
          <a:fillRect/>
        </a:stretch>
      </xdr:blipFill>
      <xdr:spPr bwMode="auto">
        <a:xfrm>
          <a:off x="85725" y="1562100"/>
          <a:ext cx="876300" cy="257175"/>
        </a:xfrm>
        <a:prstGeom prst="rect">
          <a:avLst/>
        </a:prstGeom>
        <a:noFill/>
        <a:ln w="9525">
          <a:noFill/>
          <a:miter lim="800000"/>
          <a:headEnd/>
          <a:tailEnd/>
        </a:ln>
      </xdr:spPr>
    </xdr:pic>
    <xdr:clientData fLocksWithSheet="0" fPrintsWithSheet="0"/>
  </xdr:twoCellAnchor>
  <xdr:twoCellAnchor editAs="absolute">
    <xdr:from>
      <xdr:col>0</xdr:col>
      <xdr:colOff>85725</xdr:colOff>
      <xdr:row>10</xdr:row>
      <xdr:rowOff>104775</xdr:rowOff>
    </xdr:from>
    <xdr:to>
      <xdr:col>1</xdr:col>
      <xdr:colOff>352425</xdr:colOff>
      <xdr:row>12</xdr:row>
      <xdr:rowOff>38100</xdr:rowOff>
    </xdr:to>
    <xdr:pic>
      <xdr:nvPicPr>
        <xdr:cNvPr id="23627" name="Picture 13">
          <a:hlinkClick xmlns:r="http://schemas.openxmlformats.org/officeDocument/2006/relationships" r:id="rId5" tooltip="Estimate Tensions"/>
        </xdr:cNvPr>
        <xdr:cNvPicPr>
          <a:picLocks noChangeAspect="1" noChangeArrowheads="1"/>
        </xdr:cNvPicPr>
      </xdr:nvPicPr>
      <xdr:blipFill>
        <a:blip xmlns:r="http://schemas.openxmlformats.org/officeDocument/2006/relationships" r:embed="rId6" cstate="print"/>
        <a:srcRect/>
        <a:stretch>
          <a:fillRect/>
        </a:stretch>
      </xdr:blipFill>
      <xdr:spPr bwMode="auto">
        <a:xfrm>
          <a:off x="85725" y="1819275"/>
          <a:ext cx="876300" cy="257175"/>
        </a:xfrm>
        <a:prstGeom prst="rect">
          <a:avLst/>
        </a:prstGeom>
        <a:noFill/>
        <a:ln w="9525">
          <a:noFill/>
          <a:miter lim="800000"/>
          <a:headEnd/>
          <a:tailEnd/>
        </a:ln>
      </xdr:spPr>
    </xdr:pic>
    <xdr:clientData fLocksWithSheet="0" fPrintsWithSheet="0"/>
  </xdr:twoCellAnchor>
  <xdr:twoCellAnchor editAs="absolute">
    <xdr:from>
      <xdr:col>0</xdr:col>
      <xdr:colOff>85725</xdr:colOff>
      <xdr:row>12</xdr:row>
      <xdr:rowOff>38100</xdr:rowOff>
    </xdr:from>
    <xdr:to>
      <xdr:col>1</xdr:col>
      <xdr:colOff>352425</xdr:colOff>
      <xdr:row>13</xdr:row>
      <xdr:rowOff>133350</xdr:rowOff>
    </xdr:to>
    <xdr:pic>
      <xdr:nvPicPr>
        <xdr:cNvPr id="23628" name="Picture 14">
          <a:hlinkClick xmlns:r="http://schemas.openxmlformats.org/officeDocument/2006/relationships" r:id="rId7" tooltip="Rigging Equipment"/>
        </xdr:cNvPr>
        <xdr:cNvPicPr>
          <a:picLocks noChangeAspect="1" noChangeArrowheads="1"/>
        </xdr:cNvPicPr>
      </xdr:nvPicPr>
      <xdr:blipFill>
        <a:blip xmlns:r="http://schemas.openxmlformats.org/officeDocument/2006/relationships" r:embed="rId8" cstate="print"/>
        <a:srcRect/>
        <a:stretch>
          <a:fillRect/>
        </a:stretch>
      </xdr:blipFill>
      <xdr:spPr bwMode="auto">
        <a:xfrm>
          <a:off x="85725" y="2076450"/>
          <a:ext cx="876300" cy="257175"/>
        </a:xfrm>
        <a:prstGeom prst="rect">
          <a:avLst/>
        </a:prstGeom>
        <a:noFill/>
        <a:ln w="9525">
          <a:noFill/>
          <a:miter lim="800000"/>
          <a:headEnd/>
          <a:tailEnd/>
        </a:ln>
      </xdr:spPr>
    </xdr:pic>
    <xdr:clientData fLocksWithSheet="0" fPrintsWithSheet="0"/>
  </xdr:twoCellAnchor>
  <xdr:twoCellAnchor editAs="absolute">
    <xdr:from>
      <xdr:col>0</xdr:col>
      <xdr:colOff>133350</xdr:colOff>
      <xdr:row>14</xdr:row>
      <xdr:rowOff>9525</xdr:rowOff>
    </xdr:from>
    <xdr:to>
      <xdr:col>0</xdr:col>
      <xdr:colOff>361950</xdr:colOff>
      <xdr:row>15</xdr:row>
      <xdr:rowOff>38100</xdr:rowOff>
    </xdr:to>
    <xdr:pic>
      <xdr:nvPicPr>
        <xdr:cNvPr id="23629" name="Picture 15" descr="Code Information">
          <a:hlinkClick xmlns:r="http://schemas.openxmlformats.org/officeDocument/2006/relationships" r:id="rId9" tooltip="Code Information"/>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33350" y="2371725"/>
          <a:ext cx="228600" cy="228600"/>
        </a:xfrm>
        <a:prstGeom prst="rect">
          <a:avLst/>
        </a:prstGeom>
        <a:noFill/>
        <a:ln w="9525">
          <a:noFill/>
          <a:miter lim="800000"/>
          <a:headEnd/>
          <a:tailEnd/>
        </a:ln>
      </xdr:spPr>
    </xdr:pic>
    <xdr:clientData fLocksWithSheet="0" fPrintsWithSheet="0"/>
  </xdr:twoCellAnchor>
  <xdr:twoCellAnchor editAs="absolute">
    <xdr:from>
      <xdr:col>0</xdr:col>
      <xdr:colOff>381000</xdr:colOff>
      <xdr:row>14</xdr:row>
      <xdr:rowOff>9525</xdr:rowOff>
    </xdr:from>
    <xdr:to>
      <xdr:col>1</xdr:col>
      <xdr:colOff>0</xdr:colOff>
      <xdr:row>15</xdr:row>
      <xdr:rowOff>38100</xdr:rowOff>
    </xdr:to>
    <xdr:pic>
      <xdr:nvPicPr>
        <xdr:cNvPr id="23630" name="Picture 16" descr="help">
          <a:hlinkClick xmlns:r="http://schemas.openxmlformats.org/officeDocument/2006/relationships" r:id="rId11" tooltip="Help"/>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81000" y="2371725"/>
          <a:ext cx="228600" cy="228600"/>
        </a:xfrm>
        <a:prstGeom prst="rect">
          <a:avLst/>
        </a:prstGeom>
        <a:noFill/>
        <a:ln w="9525">
          <a:noFill/>
          <a:miter lim="800000"/>
          <a:headEnd/>
          <a:tailEnd/>
        </a:ln>
      </xdr:spPr>
    </xdr:pic>
    <xdr:clientData fLocksWithSheet="0" fPrintsWithSheet="0"/>
  </xdr:twoCellAnchor>
  <xdr:twoCellAnchor editAs="absolute">
    <xdr:from>
      <xdr:col>1</xdr:col>
      <xdr:colOff>38100</xdr:colOff>
      <xdr:row>14</xdr:row>
      <xdr:rowOff>19050</xdr:rowOff>
    </xdr:from>
    <xdr:to>
      <xdr:col>1</xdr:col>
      <xdr:colOff>266700</xdr:colOff>
      <xdr:row>15</xdr:row>
      <xdr:rowOff>47625</xdr:rowOff>
    </xdr:to>
    <xdr:pic>
      <xdr:nvPicPr>
        <xdr:cNvPr id="23631" name="Picture 17" descr="star">
          <a:hlinkClick xmlns:r="http://schemas.openxmlformats.org/officeDocument/2006/relationships" r:id="rId13" tooltip="Conversions"/>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47700" y="2381250"/>
          <a:ext cx="228600" cy="228600"/>
        </a:xfrm>
        <a:prstGeom prst="rect">
          <a:avLst/>
        </a:prstGeom>
        <a:noFill/>
        <a:ln w="9525">
          <a:noFill/>
          <a:miter lim="800000"/>
          <a:headEnd/>
          <a:tailEnd/>
        </a:ln>
      </xdr:spPr>
    </xdr:pic>
    <xdr:clientData fLocksWithSheet="0" fPrintsWithSheet="0"/>
  </xdr:twoCellAnchor>
  <xdr:twoCellAnchor editAs="oneCell">
    <xdr:from>
      <xdr:col>0</xdr:col>
      <xdr:colOff>104775</xdr:colOff>
      <xdr:row>0</xdr:row>
      <xdr:rowOff>38100</xdr:rowOff>
    </xdr:from>
    <xdr:to>
      <xdr:col>5</xdr:col>
      <xdr:colOff>123825</xdr:colOff>
      <xdr:row>5</xdr:row>
      <xdr:rowOff>142875</xdr:rowOff>
    </xdr:to>
    <xdr:pic>
      <xdr:nvPicPr>
        <xdr:cNvPr id="23632" name="Picture 20"/>
        <xdr:cNvPicPr>
          <a:picLocks noChangeAspect="1" noChangeArrowheads="1"/>
        </xdr:cNvPicPr>
      </xdr:nvPicPr>
      <xdr:blipFill>
        <a:blip xmlns:r="http://schemas.openxmlformats.org/officeDocument/2006/relationships" r:embed="rId15" cstate="print"/>
        <a:srcRect/>
        <a:stretch>
          <a:fillRect/>
        </a:stretch>
      </xdr:blipFill>
      <xdr:spPr bwMode="auto">
        <a:xfrm>
          <a:off x="104775" y="38100"/>
          <a:ext cx="3762375" cy="1085850"/>
        </a:xfrm>
        <a:prstGeom prst="rect">
          <a:avLst/>
        </a:prstGeom>
        <a:noFill/>
        <a:ln w="9525">
          <a:noFill/>
          <a:miter lim="800000"/>
          <a:headEnd/>
          <a:tailEnd/>
        </a:ln>
      </xdr:spPr>
    </xdr:pic>
    <xdr:clientData/>
  </xdr:twoCellAnchor>
  <xdr:twoCellAnchor editAs="oneCell">
    <xdr:from>
      <xdr:col>5</xdr:col>
      <xdr:colOff>152400</xdr:colOff>
      <xdr:row>0</xdr:row>
      <xdr:rowOff>9525</xdr:rowOff>
    </xdr:from>
    <xdr:to>
      <xdr:col>7</xdr:col>
      <xdr:colOff>1143000</xdr:colOff>
      <xdr:row>15</xdr:row>
      <xdr:rowOff>0</xdr:rowOff>
    </xdr:to>
    <xdr:pic>
      <xdr:nvPicPr>
        <xdr:cNvPr id="23633" name="Picture 21"/>
        <xdr:cNvPicPr>
          <a:picLocks noChangeAspect="1" noChangeArrowheads="1"/>
        </xdr:cNvPicPr>
      </xdr:nvPicPr>
      <xdr:blipFill>
        <a:blip xmlns:r="http://schemas.openxmlformats.org/officeDocument/2006/relationships" r:embed="rId16" cstate="print"/>
        <a:srcRect/>
        <a:stretch>
          <a:fillRect/>
        </a:stretch>
      </xdr:blipFill>
      <xdr:spPr bwMode="auto">
        <a:xfrm>
          <a:off x="3895725" y="9525"/>
          <a:ext cx="1666875" cy="2552700"/>
        </a:xfrm>
        <a:prstGeom prst="rect">
          <a:avLst/>
        </a:prstGeom>
        <a:noFill/>
        <a:ln w="9525">
          <a:noFill/>
          <a:miter lim="800000"/>
          <a:headEnd/>
          <a:tailEnd/>
        </a:ln>
      </xdr:spPr>
    </xdr:pic>
    <xdr:clientData/>
  </xdr:twoCellAnchor>
  <xdr:twoCellAnchor editAs="absolute">
    <xdr:from>
      <xdr:col>0</xdr:col>
      <xdr:colOff>85725</xdr:colOff>
      <xdr:row>15</xdr:row>
      <xdr:rowOff>66675</xdr:rowOff>
    </xdr:from>
    <xdr:to>
      <xdr:col>1</xdr:col>
      <xdr:colOff>304800</xdr:colOff>
      <xdr:row>16</xdr:row>
      <xdr:rowOff>114300</xdr:rowOff>
    </xdr:to>
    <xdr:pic>
      <xdr:nvPicPr>
        <xdr:cNvPr id="23634" name="Picture 22" descr="buy_now">
          <a:hlinkClick xmlns:r="http://schemas.openxmlformats.org/officeDocument/2006/relationships" r:id="rId17"/>
        </xdr:cNvPr>
        <xdr:cNvPicPr>
          <a:picLocks noChangeAspect="1" noChangeArrowheads="1"/>
        </xdr:cNvPicPr>
      </xdr:nvPicPr>
      <xdr:blipFill>
        <a:blip xmlns:r="http://schemas.openxmlformats.org/officeDocument/2006/relationships" r:embed="rId18" cstate="print"/>
        <a:srcRect/>
        <a:stretch>
          <a:fillRect/>
        </a:stretch>
      </xdr:blipFill>
      <xdr:spPr bwMode="auto">
        <a:xfrm>
          <a:off x="85725" y="2628900"/>
          <a:ext cx="828675" cy="209550"/>
        </a:xfrm>
        <a:prstGeom prst="rect">
          <a:avLst/>
        </a:prstGeom>
        <a:noFill/>
        <a:ln w="9525">
          <a:noFill/>
          <a:miter lim="800000"/>
          <a:headEnd/>
          <a:tailEnd/>
        </a:ln>
      </xdr:spPr>
    </xdr:pic>
    <xdr:clientData fPrintsWithSheet="0"/>
  </xdr:twoCellAnchor>
  <xdr:twoCellAnchor editAs="oneCell">
    <xdr:from>
      <xdr:col>0</xdr:col>
      <xdr:colOff>38100</xdr:colOff>
      <xdr:row>20</xdr:row>
      <xdr:rowOff>47625</xdr:rowOff>
    </xdr:from>
    <xdr:to>
      <xdr:col>7</xdr:col>
      <xdr:colOff>1143000</xdr:colOff>
      <xdr:row>23</xdr:row>
      <xdr:rowOff>85725</xdr:rowOff>
    </xdr:to>
    <xdr:sp macro="" textlink="">
      <xdr:nvSpPr>
        <xdr:cNvPr id="23575" name="Text 4"/>
        <xdr:cNvSpPr>
          <a:spLocks noChangeArrowheads="1"/>
        </xdr:cNvSpPr>
      </xdr:nvSpPr>
      <xdr:spPr bwMode="auto">
        <a:xfrm>
          <a:off x="38100" y="3467100"/>
          <a:ext cx="5524500" cy="52387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en-GB" sz="1000" b="1" i="0" u="none" strike="noStrike" baseline="0">
              <a:solidFill>
                <a:srgbClr val="FF0000"/>
              </a:solidFill>
              <a:latin typeface="Arial"/>
              <a:cs typeface="Arial"/>
            </a:rPr>
            <a:t>All calculations must be verified by a qualified person, final approval and decision for use of any rigging is the responsibility of the qualified person.</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104775</xdr:colOff>
      <xdr:row>14</xdr:row>
      <xdr:rowOff>95250</xdr:rowOff>
    </xdr:from>
    <xdr:to>
      <xdr:col>6</xdr:col>
      <xdr:colOff>0</xdr:colOff>
      <xdr:row>18</xdr:row>
      <xdr:rowOff>47625</xdr:rowOff>
    </xdr:to>
    <xdr:grpSp>
      <xdr:nvGrpSpPr>
        <xdr:cNvPr id="31839" name="Group 3"/>
        <xdr:cNvGrpSpPr>
          <a:grpSpLocks/>
        </xdr:cNvGrpSpPr>
      </xdr:nvGrpSpPr>
      <xdr:grpSpPr bwMode="auto">
        <a:xfrm>
          <a:off x="3333750" y="2562225"/>
          <a:ext cx="1114425" cy="685800"/>
          <a:chOff x="355" y="273"/>
          <a:chExt cx="117" cy="72"/>
        </a:xfrm>
      </xdr:grpSpPr>
      <xdr:sp macro="" textlink="">
        <xdr:nvSpPr>
          <xdr:cNvPr id="31853" name="Rectangle 4"/>
          <xdr:cNvSpPr>
            <a:spLocks noChangeArrowheads="1"/>
          </xdr:cNvSpPr>
        </xdr:nvSpPr>
        <xdr:spPr bwMode="auto">
          <a:xfrm>
            <a:off x="355" y="273"/>
            <a:ext cx="117" cy="72"/>
          </a:xfrm>
          <a:prstGeom prst="rect">
            <a:avLst/>
          </a:prstGeom>
          <a:solidFill>
            <a:srgbClr val="FFFF99"/>
          </a:solidFill>
          <a:ln w="9525">
            <a:solidFill>
              <a:srgbClr val="000000"/>
            </a:solidFill>
            <a:miter lim="800000"/>
            <a:headEnd/>
            <a:tailEnd/>
          </a:ln>
        </xdr:spPr>
      </xdr:sp>
    </xdr:grpSp>
    <xdr:clientData/>
  </xdr:twoCellAnchor>
  <xdr:twoCellAnchor>
    <xdr:from>
      <xdr:col>4</xdr:col>
      <xdr:colOff>47625</xdr:colOff>
      <xdr:row>0</xdr:row>
      <xdr:rowOff>28575</xdr:rowOff>
    </xdr:from>
    <xdr:to>
      <xdr:col>6</xdr:col>
      <xdr:colOff>57150</xdr:colOff>
      <xdr:row>6</xdr:row>
      <xdr:rowOff>66675</xdr:rowOff>
    </xdr:to>
    <xdr:grpSp>
      <xdr:nvGrpSpPr>
        <xdr:cNvPr id="31840" name="Group 16"/>
        <xdr:cNvGrpSpPr>
          <a:grpSpLocks/>
        </xdr:cNvGrpSpPr>
      </xdr:nvGrpSpPr>
      <xdr:grpSpPr bwMode="auto">
        <a:xfrm>
          <a:off x="3276600" y="28575"/>
          <a:ext cx="1228725" cy="1162050"/>
          <a:chOff x="357" y="4"/>
          <a:chExt cx="129" cy="122"/>
        </a:xfrm>
      </xdr:grpSpPr>
      <xdr:grpSp>
        <xdr:nvGrpSpPr>
          <xdr:cNvPr id="31850" name="Group 15"/>
          <xdr:cNvGrpSpPr>
            <a:grpSpLocks/>
          </xdr:cNvGrpSpPr>
        </xdr:nvGrpSpPr>
        <xdr:grpSpPr bwMode="auto">
          <a:xfrm>
            <a:off x="357" y="4"/>
            <a:ext cx="129" cy="122"/>
            <a:chOff x="357" y="4"/>
            <a:chExt cx="129" cy="122"/>
          </a:xfrm>
        </xdr:grpSpPr>
        <xdr:sp macro="" textlink="">
          <xdr:nvSpPr>
            <xdr:cNvPr id="31851" name="Rectangle 8"/>
            <xdr:cNvSpPr>
              <a:spLocks noChangeArrowheads="1"/>
            </xdr:cNvSpPr>
          </xdr:nvSpPr>
          <xdr:spPr bwMode="auto">
            <a:xfrm>
              <a:off x="357" y="4"/>
              <a:ext cx="129" cy="122"/>
            </a:xfrm>
            <a:prstGeom prst="rect">
              <a:avLst/>
            </a:prstGeom>
            <a:solidFill>
              <a:srgbClr val="FFFFFF"/>
            </a:solidFill>
            <a:ln w="9525">
              <a:noFill/>
              <a:miter lim="800000"/>
              <a:headEnd/>
              <a:tailEnd/>
            </a:ln>
          </xdr:spPr>
        </xdr:sp>
        <xdr:sp macro="" textlink="">
          <xdr:nvSpPr>
            <xdr:cNvPr id="31852" name="Rectangle 9"/>
            <xdr:cNvSpPr>
              <a:spLocks noChangeArrowheads="1"/>
            </xdr:cNvSpPr>
          </xdr:nvSpPr>
          <xdr:spPr bwMode="auto">
            <a:xfrm>
              <a:off x="358" y="28"/>
              <a:ext cx="126" cy="43"/>
            </a:xfrm>
            <a:prstGeom prst="rect">
              <a:avLst/>
            </a:prstGeom>
            <a:solidFill>
              <a:srgbClr val="FFFF99"/>
            </a:solidFill>
            <a:ln w="9525">
              <a:solidFill>
                <a:srgbClr val="000000"/>
              </a:solidFill>
              <a:miter lim="800000"/>
              <a:headEnd/>
              <a:tailEnd/>
            </a:ln>
          </xdr:spPr>
        </xdr:sp>
      </xdr:grpSp>
    </xdr:grpSp>
    <xdr:clientData/>
  </xdr:twoCellAnchor>
  <xdr:twoCellAnchor editAs="oneCell">
    <xdr:from>
      <xdr:col>6</xdr:col>
      <xdr:colOff>314325</xdr:colOff>
      <xdr:row>2</xdr:row>
      <xdr:rowOff>66675</xdr:rowOff>
    </xdr:from>
    <xdr:to>
      <xdr:col>9</xdr:col>
      <xdr:colOff>85725</xdr:colOff>
      <xdr:row>21</xdr:row>
      <xdr:rowOff>38100</xdr:rowOff>
    </xdr:to>
    <xdr:pic>
      <xdr:nvPicPr>
        <xdr:cNvPr id="31841"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4762500" y="428625"/>
          <a:ext cx="1600200" cy="3295650"/>
        </a:xfrm>
        <a:prstGeom prst="rect">
          <a:avLst/>
        </a:prstGeom>
        <a:noFill/>
        <a:ln w="9525">
          <a:noFill/>
          <a:miter lim="800000"/>
          <a:headEnd/>
          <a:tailEnd/>
        </a:ln>
      </xdr:spPr>
    </xdr:pic>
    <xdr:clientData/>
  </xdr:twoCellAnchor>
  <xdr:twoCellAnchor editAs="absolute">
    <xdr:from>
      <xdr:col>0</xdr:col>
      <xdr:colOff>66675</xdr:colOff>
      <xdr:row>0</xdr:row>
      <xdr:rowOff>47625</xdr:rowOff>
    </xdr:from>
    <xdr:to>
      <xdr:col>0</xdr:col>
      <xdr:colOff>962025</xdr:colOff>
      <xdr:row>1</xdr:row>
      <xdr:rowOff>114300</xdr:rowOff>
    </xdr:to>
    <xdr:pic>
      <xdr:nvPicPr>
        <xdr:cNvPr id="31842" name="Picture 27">
          <a:hlinkClick xmlns:r="http://schemas.openxmlformats.org/officeDocument/2006/relationships" r:id="rId2" tooltip="Return to Main Menu"/>
        </xdr:cNvPr>
        <xdr:cNvPicPr>
          <a:picLocks noChangeAspect="1" noChangeArrowheads="1"/>
        </xdr:cNvPicPr>
      </xdr:nvPicPr>
      <xdr:blipFill>
        <a:blip xmlns:r="http://schemas.openxmlformats.org/officeDocument/2006/relationships" r:embed="rId3" cstate="print"/>
        <a:srcRect/>
        <a:stretch>
          <a:fillRect/>
        </a:stretch>
      </xdr:blipFill>
      <xdr:spPr bwMode="auto">
        <a:xfrm>
          <a:off x="66675" y="47625"/>
          <a:ext cx="895350" cy="228600"/>
        </a:xfrm>
        <a:prstGeom prst="rect">
          <a:avLst/>
        </a:prstGeom>
        <a:noFill/>
        <a:ln w="9525">
          <a:noFill/>
          <a:miter lim="800000"/>
          <a:headEnd/>
          <a:tailEnd/>
        </a:ln>
      </xdr:spPr>
    </xdr:pic>
    <xdr:clientData fPrintsWithSheet="0"/>
  </xdr:twoCellAnchor>
  <xdr:twoCellAnchor editAs="absolute">
    <xdr:from>
      <xdr:col>0</xdr:col>
      <xdr:colOff>66675</xdr:colOff>
      <xdr:row>1</xdr:row>
      <xdr:rowOff>123825</xdr:rowOff>
    </xdr:from>
    <xdr:to>
      <xdr:col>0</xdr:col>
      <xdr:colOff>962025</xdr:colOff>
      <xdr:row>2</xdr:row>
      <xdr:rowOff>152400</xdr:rowOff>
    </xdr:to>
    <xdr:pic>
      <xdr:nvPicPr>
        <xdr:cNvPr id="31843" name="Picture 28">
          <a:hlinkClick xmlns:r="http://schemas.openxmlformats.org/officeDocument/2006/relationships" r:id="rId4" tooltip="Go To Master Index"/>
        </xdr:cNvPr>
        <xdr:cNvPicPr>
          <a:picLocks noChangeAspect="1" noChangeArrowheads="1"/>
        </xdr:cNvPicPr>
      </xdr:nvPicPr>
      <xdr:blipFill>
        <a:blip xmlns:r="http://schemas.openxmlformats.org/officeDocument/2006/relationships" r:embed="rId5" cstate="print"/>
        <a:srcRect/>
        <a:stretch>
          <a:fillRect/>
        </a:stretch>
      </xdr:blipFill>
      <xdr:spPr bwMode="auto">
        <a:xfrm>
          <a:off x="66675" y="285750"/>
          <a:ext cx="895350" cy="228600"/>
        </a:xfrm>
        <a:prstGeom prst="rect">
          <a:avLst/>
        </a:prstGeom>
        <a:noFill/>
        <a:ln w="9525">
          <a:noFill/>
          <a:miter lim="800000"/>
          <a:headEnd/>
          <a:tailEnd/>
        </a:ln>
      </xdr:spPr>
    </xdr:pic>
    <xdr:clientData fPrintsWithSheet="0"/>
  </xdr:twoCellAnchor>
  <xdr:twoCellAnchor editAs="absolute">
    <xdr:from>
      <xdr:col>0</xdr:col>
      <xdr:colOff>66675</xdr:colOff>
      <xdr:row>2</xdr:row>
      <xdr:rowOff>180975</xdr:rowOff>
    </xdr:from>
    <xdr:to>
      <xdr:col>0</xdr:col>
      <xdr:colOff>962025</xdr:colOff>
      <xdr:row>4</xdr:row>
      <xdr:rowOff>9525</xdr:rowOff>
    </xdr:to>
    <xdr:pic>
      <xdr:nvPicPr>
        <xdr:cNvPr id="31844" name="Picture 29">
          <a:hlinkClick xmlns:r="http://schemas.openxmlformats.org/officeDocument/2006/relationships" r:id="rId6" tooltip="Go To Weights Menu"/>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5" y="542925"/>
          <a:ext cx="895350" cy="228600"/>
        </a:xfrm>
        <a:prstGeom prst="rect">
          <a:avLst/>
        </a:prstGeom>
        <a:noFill/>
        <a:ln w="9525">
          <a:noFill/>
          <a:miter lim="800000"/>
          <a:headEnd/>
          <a:tailEnd/>
        </a:ln>
      </xdr:spPr>
    </xdr:pic>
    <xdr:clientData fPrintsWithSheet="0"/>
  </xdr:twoCellAnchor>
  <xdr:twoCellAnchor editAs="absolute">
    <xdr:from>
      <xdr:col>0</xdr:col>
      <xdr:colOff>66675</xdr:colOff>
      <xdr:row>4</xdr:row>
      <xdr:rowOff>9525</xdr:rowOff>
    </xdr:from>
    <xdr:to>
      <xdr:col>0</xdr:col>
      <xdr:colOff>962025</xdr:colOff>
      <xdr:row>5</xdr:row>
      <xdr:rowOff>47625</xdr:rowOff>
    </xdr:to>
    <xdr:pic>
      <xdr:nvPicPr>
        <xdr:cNvPr id="31845" name="Picture 30">
          <a:hlinkClick xmlns:r="http://schemas.openxmlformats.org/officeDocument/2006/relationships" r:id="rId8" tooltip="Go To Tension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771525"/>
          <a:ext cx="895350" cy="228600"/>
        </a:xfrm>
        <a:prstGeom prst="rect">
          <a:avLst/>
        </a:prstGeom>
        <a:noFill/>
        <a:ln w="9525">
          <a:noFill/>
          <a:miter lim="800000"/>
          <a:headEnd/>
          <a:tailEnd/>
        </a:ln>
      </xdr:spPr>
    </xdr:pic>
    <xdr:clientData fPrintsWithSheet="0"/>
  </xdr:twoCellAnchor>
  <xdr:twoCellAnchor editAs="absolute">
    <xdr:from>
      <xdr:col>0</xdr:col>
      <xdr:colOff>66675</xdr:colOff>
      <xdr:row>5</xdr:row>
      <xdr:rowOff>47625</xdr:rowOff>
    </xdr:from>
    <xdr:to>
      <xdr:col>0</xdr:col>
      <xdr:colOff>962025</xdr:colOff>
      <xdr:row>6</xdr:row>
      <xdr:rowOff>104775</xdr:rowOff>
    </xdr:to>
    <xdr:pic>
      <xdr:nvPicPr>
        <xdr:cNvPr id="31846" name="Picture 31">
          <a:hlinkClick xmlns:r="http://schemas.openxmlformats.org/officeDocument/2006/relationships" r:id="rId10" tooltip="Go To Equipment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1000125"/>
          <a:ext cx="895350" cy="228600"/>
        </a:xfrm>
        <a:prstGeom prst="rect">
          <a:avLst/>
        </a:prstGeom>
        <a:noFill/>
        <a:ln w="9525">
          <a:noFill/>
          <a:miter lim="800000"/>
          <a:headEnd/>
          <a:tailEnd/>
        </a:ln>
      </xdr:spPr>
    </xdr:pic>
    <xdr:clientData fPrintsWithSheet="0"/>
  </xdr:twoCellAnchor>
  <xdr:twoCellAnchor editAs="absolute">
    <xdr:from>
      <xdr:col>0</xdr:col>
      <xdr:colOff>114300</xdr:colOff>
      <xdr:row>6</xdr:row>
      <xdr:rowOff>133350</xdr:rowOff>
    </xdr:from>
    <xdr:to>
      <xdr:col>0</xdr:col>
      <xdr:colOff>342900</xdr:colOff>
      <xdr:row>8</xdr:row>
      <xdr:rowOff>9525</xdr:rowOff>
    </xdr:to>
    <xdr:pic>
      <xdr:nvPicPr>
        <xdr:cNvPr id="31847" name="Picture 32" descr="Code Information">
          <a:hlinkClick xmlns:r="http://schemas.openxmlformats.org/officeDocument/2006/relationships" r:id="rId12" tooltip="Code Information"/>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14300" y="1257300"/>
          <a:ext cx="228600" cy="228600"/>
        </a:xfrm>
        <a:prstGeom prst="rect">
          <a:avLst/>
        </a:prstGeom>
        <a:noFill/>
        <a:ln w="9525">
          <a:noFill/>
          <a:miter lim="800000"/>
          <a:headEnd/>
          <a:tailEnd/>
        </a:ln>
      </xdr:spPr>
    </xdr:pic>
    <xdr:clientData fPrintsWithSheet="0"/>
  </xdr:twoCellAnchor>
  <xdr:twoCellAnchor editAs="absolute">
    <xdr:from>
      <xdr:col>0</xdr:col>
      <xdr:colOff>371475</xdr:colOff>
      <xdr:row>6</xdr:row>
      <xdr:rowOff>133350</xdr:rowOff>
    </xdr:from>
    <xdr:to>
      <xdr:col>0</xdr:col>
      <xdr:colOff>600075</xdr:colOff>
      <xdr:row>8</xdr:row>
      <xdr:rowOff>9525</xdr:rowOff>
    </xdr:to>
    <xdr:pic>
      <xdr:nvPicPr>
        <xdr:cNvPr id="31848" name="Picture 33" descr="help">
          <a:hlinkClick xmlns:r="http://schemas.openxmlformats.org/officeDocument/2006/relationships" r:id="rId14" tooltip="Help"/>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71475" y="1257300"/>
          <a:ext cx="228600" cy="228600"/>
        </a:xfrm>
        <a:prstGeom prst="rect">
          <a:avLst/>
        </a:prstGeom>
        <a:noFill/>
        <a:ln w="9525">
          <a:noFill/>
          <a:miter lim="800000"/>
          <a:headEnd/>
          <a:tailEnd/>
        </a:ln>
      </xdr:spPr>
    </xdr:pic>
    <xdr:clientData fPrintsWithSheet="0"/>
  </xdr:twoCellAnchor>
  <xdr:twoCellAnchor editAs="absolute">
    <xdr:from>
      <xdr:col>0</xdr:col>
      <xdr:colOff>638175</xdr:colOff>
      <xdr:row>6</xdr:row>
      <xdr:rowOff>133350</xdr:rowOff>
    </xdr:from>
    <xdr:to>
      <xdr:col>0</xdr:col>
      <xdr:colOff>866775</xdr:colOff>
      <xdr:row>8</xdr:row>
      <xdr:rowOff>9525</xdr:rowOff>
    </xdr:to>
    <xdr:pic>
      <xdr:nvPicPr>
        <xdr:cNvPr id="31849" name="Picture 34" descr="star">
          <a:hlinkClick xmlns:r="http://schemas.openxmlformats.org/officeDocument/2006/relationships" r:id="rId16" tooltip="Conversions"/>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38175" y="1257300"/>
          <a:ext cx="228600" cy="22860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editAs="oneCell">
        <xdr:from>
          <xdr:col>2</xdr:col>
          <xdr:colOff>57150</xdr:colOff>
          <xdr:row>18</xdr:row>
          <xdr:rowOff>123825</xdr:rowOff>
        </xdr:from>
        <xdr:to>
          <xdr:col>5</xdr:col>
          <xdr:colOff>285750</xdr:colOff>
          <xdr:row>20</xdr:row>
          <xdr:rowOff>19050</xdr:rowOff>
        </xdr:to>
        <xdr:sp macro="" textlink="">
          <xdr:nvSpPr>
            <xdr:cNvPr id="31745" name="Drop Down 1" hidden="1">
              <a:extLst>
                <a:ext uri="{63B3BB69-23CF-44E3-9099-C40C66FF867C}">
                  <a14:compatExt spid="_x0000_s317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123825</xdr:colOff>
          <xdr:row>1</xdr:row>
          <xdr:rowOff>171450</xdr:rowOff>
        </xdr:from>
        <xdr:to>
          <xdr:col>5</xdr:col>
          <xdr:colOff>590550</xdr:colOff>
          <xdr:row>3</xdr:row>
          <xdr:rowOff>38100</xdr:rowOff>
        </xdr:to>
        <xdr:grpSp>
          <xdr:nvGrpSpPr>
            <xdr:cNvPr id="31754" name="Group 10"/>
            <xdr:cNvGrpSpPr>
              <a:grpSpLocks/>
            </xdr:cNvGrpSpPr>
          </xdr:nvGrpSpPr>
          <xdr:grpSpPr bwMode="auto">
            <a:xfrm>
              <a:off x="3352800" y="333375"/>
              <a:ext cx="1076325" cy="266700"/>
              <a:chOff x="7" y="41"/>
              <a:chExt cx="113" cy="28"/>
            </a:xfrm>
          </xdr:grpSpPr>
          <xdr:sp macro="" textlink="">
            <xdr:nvSpPr>
              <xdr:cNvPr id="31755" name="Option Button 11" hidden="1">
                <a:extLst>
                  <a:ext uri="{63B3BB69-23CF-44E3-9099-C40C66FF867C}">
                    <a14:compatExt spid="_x0000_s31755"/>
                  </a:ext>
                </a:extLst>
              </xdr:cNvPr>
              <xdr:cNvSpPr/>
            </xdr:nvSpPr>
            <xdr:spPr>
              <a:xfrm>
                <a:off x="11" y="46"/>
                <a:ext cx="46"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a:t>
                </a:r>
              </a:p>
            </xdr:txBody>
          </xdr:sp>
          <xdr:sp macro="" textlink="">
            <xdr:nvSpPr>
              <xdr:cNvPr id="31756" name="Option Button 12" hidden="1">
                <a:extLst>
                  <a:ext uri="{63B3BB69-23CF-44E3-9099-C40C66FF867C}">
                    <a14:compatExt spid="_x0000_s31756"/>
                  </a:ext>
                </a:extLst>
              </xdr:cNvPr>
              <xdr:cNvSpPr/>
            </xdr:nvSpPr>
            <xdr:spPr>
              <a:xfrm>
                <a:off x="55" y="46"/>
                <a:ext cx="57"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Metric</a:t>
                </a:r>
              </a:p>
            </xdr:txBody>
          </xdr:sp>
          <xdr:sp macro="" textlink="">
            <xdr:nvSpPr>
              <xdr:cNvPr id="31757" name="Group Box 13" hidden="1">
                <a:extLst>
                  <a:ext uri="{63B3BB69-23CF-44E3-9099-C40C66FF867C}">
                    <a14:compatExt spid="_x0000_s31757"/>
                  </a:ext>
                </a:extLst>
              </xdr:cNvPr>
              <xdr:cNvSpPr/>
            </xdr:nvSpPr>
            <xdr:spPr>
              <a:xfrm>
                <a:off x="7" y="41"/>
                <a:ext cx="113" cy="28"/>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Measurement Units</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247650</xdr:colOff>
          <xdr:row>15</xdr:row>
          <xdr:rowOff>114300</xdr:rowOff>
        </xdr:from>
        <xdr:to>
          <xdr:col>5</xdr:col>
          <xdr:colOff>514350</xdr:colOff>
          <xdr:row>16</xdr:row>
          <xdr:rowOff>161925</xdr:rowOff>
        </xdr:to>
        <xdr:sp macro="" textlink="">
          <xdr:nvSpPr>
            <xdr:cNvPr id="31749" name="Option Button 5" hidden="1">
              <a:extLst>
                <a:ext uri="{63B3BB69-23CF-44E3-9099-C40C66FF867C}">
                  <a14:compatExt spid="_x0000_s317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238125</xdr:colOff>
          <xdr:row>16</xdr:row>
          <xdr:rowOff>123825</xdr:rowOff>
        </xdr:from>
        <xdr:to>
          <xdr:col>5</xdr:col>
          <xdr:colOff>400050</xdr:colOff>
          <xdr:row>17</xdr:row>
          <xdr:rowOff>142875</xdr:rowOff>
        </xdr:to>
        <xdr:sp macro="" textlink="">
          <xdr:nvSpPr>
            <xdr:cNvPr id="31750" name="Option Button 6" hidden="1">
              <a:extLst>
                <a:ext uri="{63B3BB69-23CF-44E3-9099-C40C66FF867C}">
                  <a14:compatExt spid="_x0000_s317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Metric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15</xdr:row>
          <xdr:rowOff>47625</xdr:rowOff>
        </xdr:from>
        <xdr:to>
          <xdr:col>5</xdr:col>
          <xdr:colOff>523875</xdr:colOff>
          <xdr:row>17</xdr:row>
          <xdr:rowOff>152400</xdr:rowOff>
        </xdr:to>
        <xdr:sp macro="" textlink="">
          <xdr:nvSpPr>
            <xdr:cNvPr id="31751" name="Group Box 7" hidden="1">
              <a:extLst>
                <a:ext uri="{63B3BB69-23CF-44E3-9099-C40C66FF867C}">
                  <a14:compatExt spid="_x0000_s31751"/>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Weight Display</a:t>
              </a:r>
            </a:p>
          </xdr:txBody>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104775</xdr:colOff>
      <xdr:row>14</xdr:row>
      <xdr:rowOff>95250</xdr:rowOff>
    </xdr:from>
    <xdr:to>
      <xdr:col>7</xdr:col>
      <xdr:colOff>0</xdr:colOff>
      <xdr:row>18</xdr:row>
      <xdr:rowOff>47625</xdr:rowOff>
    </xdr:to>
    <xdr:grpSp>
      <xdr:nvGrpSpPr>
        <xdr:cNvPr id="32858" name="Group 3"/>
        <xdr:cNvGrpSpPr>
          <a:grpSpLocks/>
        </xdr:cNvGrpSpPr>
      </xdr:nvGrpSpPr>
      <xdr:grpSpPr bwMode="auto">
        <a:xfrm>
          <a:off x="4076700" y="2571750"/>
          <a:ext cx="1114425" cy="685800"/>
          <a:chOff x="355" y="273"/>
          <a:chExt cx="117" cy="72"/>
        </a:xfrm>
      </xdr:grpSpPr>
      <xdr:sp macro="" textlink="">
        <xdr:nvSpPr>
          <xdr:cNvPr id="32872" name="Rectangle 4"/>
          <xdr:cNvSpPr>
            <a:spLocks noChangeArrowheads="1"/>
          </xdr:cNvSpPr>
        </xdr:nvSpPr>
        <xdr:spPr bwMode="auto">
          <a:xfrm>
            <a:off x="355" y="273"/>
            <a:ext cx="117" cy="72"/>
          </a:xfrm>
          <a:prstGeom prst="rect">
            <a:avLst/>
          </a:prstGeom>
          <a:solidFill>
            <a:srgbClr val="FFFF99"/>
          </a:solidFill>
          <a:ln w="9525">
            <a:solidFill>
              <a:srgbClr val="000000"/>
            </a:solidFill>
            <a:miter lim="800000"/>
            <a:headEnd/>
            <a:tailEnd/>
          </a:ln>
        </xdr:spPr>
      </xdr:sp>
    </xdr:grpSp>
    <xdr:clientData/>
  </xdr:twoCellAnchor>
  <xdr:twoCellAnchor>
    <xdr:from>
      <xdr:col>5</xdr:col>
      <xdr:colOff>19050</xdr:colOff>
      <xdr:row>0</xdr:row>
      <xdr:rowOff>38100</xdr:rowOff>
    </xdr:from>
    <xdr:to>
      <xdr:col>7</xdr:col>
      <xdr:colOff>28575</xdr:colOff>
      <xdr:row>6</xdr:row>
      <xdr:rowOff>66675</xdr:rowOff>
    </xdr:to>
    <xdr:grpSp>
      <xdr:nvGrpSpPr>
        <xdr:cNvPr id="32859" name="Group 8"/>
        <xdr:cNvGrpSpPr>
          <a:grpSpLocks/>
        </xdr:cNvGrpSpPr>
      </xdr:nvGrpSpPr>
      <xdr:grpSpPr bwMode="auto">
        <a:xfrm>
          <a:off x="3990975" y="38100"/>
          <a:ext cx="1228725" cy="1162050"/>
          <a:chOff x="357" y="4"/>
          <a:chExt cx="129" cy="122"/>
        </a:xfrm>
      </xdr:grpSpPr>
      <xdr:sp macro="" textlink="">
        <xdr:nvSpPr>
          <xdr:cNvPr id="32870" name="Rectangle 9"/>
          <xdr:cNvSpPr>
            <a:spLocks noChangeArrowheads="1"/>
          </xdr:cNvSpPr>
        </xdr:nvSpPr>
        <xdr:spPr bwMode="auto">
          <a:xfrm>
            <a:off x="357" y="4"/>
            <a:ext cx="129" cy="122"/>
          </a:xfrm>
          <a:prstGeom prst="rect">
            <a:avLst/>
          </a:prstGeom>
          <a:solidFill>
            <a:srgbClr val="FFFFFF"/>
          </a:solidFill>
          <a:ln w="9525">
            <a:noFill/>
            <a:miter lim="800000"/>
            <a:headEnd/>
            <a:tailEnd/>
          </a:ln>
        </xdr:spPr>
      </xdr:sp>
      <xdr:sp macro="" textlink="">
        <xdr:nvSpPr>
          <xdr:cNvPr id="32871" name="Rectangle 10"/>
          <xdr:cNvSpPr>
            <a:spLocks noChangeArrowheads="1"/>
          </xdr:cNvSpPr>
        </xdr:nvSpPr>
        <xdr:spPr bwMode="auto">
          <a:xfrm>
            <a:off x="358" y="28"/>
            <a:ext cx="126" cy="43"/>
          </a:xfrm>
          <a:prstGeom prst="rect">
            <a:avLst/>
          </a:prstGeom>
          <a:solidFill>
            <a:srgbClr val="FFFF99"/>
          </a:solidFill>
          <a:ln w="9525">
            <a:solidFill>
              <a:srgbClr val="000000"/>
            </a:solidFill>
            <a:miter lim="800000"/>
            <a:headEnd/>
            <a:tailEnd/>
          </a:ln>
        </xdr:spPr>
      </xdr:sp>
    </xdr:grpSp>
    <xdr:clientData/>
  </xdr:twoCellAnchor>
  <xdr:twoCellAnchor editAs="oneCell">
    <xdr:from>
      <xdr:col>7</xdr:col>
      <xdr:colOff>57150</xdr:colOff>
      <xdr:row>1</xdr:row>
      <xdr:rowOff>123825</xdr:rowOff>
    </xdr:from>
    <xdr:to>
      <xdr:col>11</xdr:col>
      <xdr:colOff>295275</xdr:colOff>
      <xdr:row>17</xdr:row>
      <xdr:rowOff>47625</xdr:rowOff>
    </xdr:to>
    <xdr:pic>
      <xdr:nvPicPr>
        <xdr:cNvPr id="32860"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5248275" y="285750"/>
          <a:ext cx="2676525" cy="2771775"/>
        </a:xfrm>
        <a:prstGeom prst="rect">
          <a:avLst/>
        </a:prstGeom>
        <a:noFill/>
        <a:ln w="9525">
          <a:noFill/>
          <a:miter lim="800000"/>
          <a:headEnd/>
          <a:tailEnd/>
        </a:ln>
      </xdr:spPr>
    </xdr:pic>
    <xdr:clientData/>
  </xdr:twoCellAnchor>
  <xdr:twoCellAnchor>
    <xdr:from>
      <xdr:col>4</xdr:col>
      <xdr:colOff>333375</xdr:colOff>
      <xdr:row>8</xdr:row>
      <xdr:rowOff>38100</xdr:rowOff>
    </xdr:from>
    <xdr:to>
      <xdr:col>6</xdr:col>
      <xdr:colOff>590550</xdr:colOff>
      <xdr:row>12</xdr:row>
      <xdr:rowOff>104775</xdr:rowOff>
    </xdr:to>
    <xdr:sp macro="" textlink="">
      <xdr:nvSpPr>
        <xdr:cNvPr id="32784" name="Text 4"/>
        <xdr:cNvSpPr>
          <a:spLocks noChangeArrowheads="1"/>
        </xdr:cNvSpPr>
      </xdr:nvSpPr>
      <xdr:spPr bwMode="auto">
        <a:xfrm>
          <a:off x="3524250" y="1524000"/>
          <a:ext cx="1647825" cy="733425"/>
        </a:xfrm>
        <a:prstGeom prst="roundRect">
          <a:avLst>
            <a:gd name="adj" fmla="val 16667"/>
          </a:avLst>
        </a:prstGeom>
        <a:solidFill>
          <a:srgbClr val="FF0000"/>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0" anchor="t" upright="1"/>
        <a:lstStyle/>
        <a:p>
          <a:pPr algn="l" rtl="0">
            <a:defRPr sz="1000"/>
          </a:pPr>
          <a:r>
            <a:rPr lang="en-GB" sz="1000" b="1" i="0" u="none" strike="noStrike" baseline="0">
              <a:solidFill>
                <a:srgbClr val="FFFFFF"/>
              </a:solidFill>
              <a:latin typeface="Arial"/>
              <a:cs typeface="Arial"/>
            </a:rPr>
            <a:t>Note: This calculates the  area of the wall, NOT the area of the inside of the hollow cylinder.</a:t>
          </a:r>
        </a:p>
      </xdr:txBody>
    </xdr:sp>
    <xdr:clientData/>
  </xdr:twoCellAnchor>
  <xdr:twoCellAnchor editAs="absolute">
    <xdr:from>
      <xdr:col>0</xdr:col>
      <xdr:colOff>57150</xdr:colOff>
      <xdr:row>0</xdr:row>
      <xdr:rowOff>28575</xdr:rowOff>
    </xdr:from>
    <xdr:to>
      <xdr:col>0</xdr:col>
      <xdr:colOff>952500</xdr:colOff>
      <xdr:row>1</xdr:row>
      <xdr:rowOff>95250</xdr:rowOff>
    </xdr:to>
    <xdr:pic>
      <xdr:nvPicPr>
        <xdr:cNvPr id="32862" name="Picture 22">
          <a:hlinkClick xmlns:r="http://schemas.openxmlformats.org/officeDocument/2006/relationships" r:id="rId2" tooltip="Return to Main Menu"/>
        </xdr:cNvPr>
        <xdr:cNvPicPr>
          <a:picLocks noChangeAspect="1" noChangeArrowheads="1"/>
        </xdr:cNvPicPr>
      </xdr:nvPicPr>
      <xdr:blipFill>
        <a:blip xmlns:r="http://schemas.openxmlformats.org/officeDocument/2006/relationships" r:embed="rId3" cstate="print"/>
        <a:srcRect/>
        <a:stretch>
          <a:fillRect/>
        </a:stretch>
      </xdr:blipFill>
      <xdr:spPr bwMode="auto">
        <a:xfrm>
          <a:off x="57150" y="28575"/>
          <a:ext cx="895350" cy="228600"/>
        </a:xfrm>
        <a:prstGeom prst="rect">
          <a:avLst/>
        </a:prstGeom>
        <a:noFill/>
        <a:ln w="9525">
          <a:noFill/>
          <a:miter lim="800000"/>
          <a:headEnd/>
          <a:tailEnd/>
        </a:ln>
      </xdr:spPr>
    </xdr:pic>
    <xdr:clientData fPrintsWithSheet="0"/>
  </xdr:twoCellAnchor>
  <xdr:twoCellAnchor editAs="absolute">
    <xdr:from>
      <xdr:col>0</xdr:col>
      <xdr:colOff>57150</xdr:colOff>
      <xdr:row>1</xdr:row>
      <xdr:rowOff>104775</xdr:rowOff>
    </xdr:from>
    <xdr:to>
      <xdr:col>0</xdr:col>
      <xdr:colOff>952500</xdr:colOff>
      <xdr:row>2</xdr:row>
      <xdr:rowOff>133350</xdr:rowOff>
    </xdr:to>
    <xdr:pic>
      <xdr:nvPicPr>
        <xdr:cNvPr id="32863" name="Picture 23">
          <a:hlinkClick xmlns:r="http://schemas.openxmlformats.org/officeDocument/2006/relationships" r:id="rId4" tooltip="Go To Master Index"/>
        </xdr:cNvPr>
        <xdr:cNvPicPr>
          <a:picLocks noChangeAspect="1" noChangeArrowheads="1"/>
        </xdr:cNvPicPr>
      </xdr:nvPicPr>
      <xdr:blipFill>
        <a:blip xmlns:r="http://schemas.openxmlformats.org/officeDocument/2006/relationships" r:embed="rId5" cstate="print"/>
        <a:srcRect/>
        <a:stretch>
          <a:fillRect/>
        </a:stretch>
      </xdr:blipFill>
      <xdr:spPr bwMode="auto">
        <a:xfrm>
          <a:off x="57150" y="266700"/>
          <a:ext cx="895350" cy="228600"/>
        </a:xfrm>
        <a:prstGeom prst="rect">
          <a:avLst/>
        </a:prstGeom>
        <a:noFill/>
        <a:ln w="9525">
          <a:noFill/>
          <a:miter lim="800000"/>
          <a:headEnd/>
          <a:tailEnd/>
        </a:ln>
      </xdr:spPr>
    </xdr:pic>
    <xdr:clientData fPrintsWithSheet="0"/>
  </xdr:twoCellAnchor>
  <xdr:twoCellAnchor editAs="absolute">
    <xdr:from>
      <xdr:col>0</xdr:col>
      <xdr:colOff>57150</xdr:colOff>
      <xdr:row>2</xdr:row>
      <xdr:rowOff>161925</xdr:rowOff>
    </xdr:from>
    <xdr:to>
      <xdr:col>0</xdr:col>
      <xdr:colOff>952500</xdr:colOff>
      <xdr:row>3</xdr:row>
      <xdr:rowOff>190500</xdr:rowOff>
    </xdr:to>
    <xdr:pic>
      <xdr:nvPicPr>
        <xdr:cNvPr id="32864" name="Picture 24">
          <a:hlinkClick xmlns:r="http://schemas.openxmlformats.org/officeDocument/2006/relationships" r:id="rId6" tooltip="Go To Weights Menu"/>
        </xdr:cNvPr>
        <xdr:cNvPicPr>
          <a:picLocks noChangeAspect="1" noChangeArrowheads="1"/>
        </xdr:cNvPicPr>
      </xdr:nvPicPr>
      <xdr:blipFill>
        <a:blip xmlns:r="http://schemas.openxmlformats.org/officeDocument/2006/relationships" r:embed="rId7" cstate="print"/>
        <a:srcRect/>
        <a:stretch>
          <a:fillRect/>
        </a:stretch>
      </xdr:blipFill>
      <xdr:spPr bwMode="auto">
        <a:xfrm>
          <a:off x="57150" y="523875"/>
          <a:ext cx="895350" cy="228600"/>
        </a:xfrm>
        <a:prstGeom prst="rect">
          <a:avLst/>
        </a:prstGeom>
        <a:noFill/>
        <a:ln w="9525">
          <a:noFill/>
          <a:miter lim="800000"/>
          <a:headEnd/>
          <a:tailEnd/>
        </a:ln>
      </xdr:spPr>
    </xdr:pic>
    <xdr:clientData fPrintsWithSheet="0"/>
  </xdr:twoCellAnchor>
  <xdr:twoCellAnchor editAs="absolute">
    <xdr:from>
      <xdr:col>0</xdr:col>
      <xdr:colOff>57150</xdr:colOff>
      <xdr:row>3</xdr:row>
      <xdr:rowOff>190500</xdr:rowOff>
    </xdr:from>
    <xdr:to>
      <xdr:col>0</xdr:col>
      <xdr:colOff>952500</xdr:colOff>
      <xdr:row>5</xdr:row>
      <xdr:rowOff>19050</xdr:rowOff>
    </xdr:to>
    <xdr:pic>
      <xdr:nvPicPr>
        <xdr:cNvPr id="32865" name="Picture 25">
          <a:hlinkClick xmlns:r="http://schemas.openxmlformats.org/officeDocument/2006/relationships" r:id="rId8" tooltip="Go To Tension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57150" y="752475"/>
          <a:ext cx="895350" cy="228600"/>
        </a:xfrm>
        <a:prstGeom prst="rect">
          <a:avLst/>
        </a:prstGeom>
        <a:noFill/>
        <a:ln w="9525">
          <a:noFill/>
          <a:miter lim="800000"/>
          <a:headEnd/>
          <a:tailEnd/>
        </a:ln>
      </xdr:spPr>
    </xdr:pic>
    <xdr:clientData fPrintsWithSheet="0"/>
  </xdr:twoCellAnchor>
  <xdr:twoCellAnchor editAs="absolute">
    <xdr:from>
      <xdr:col>0</xdr:col>
      <xdr:colOff>57150</xdr:colOff>
      <xdr:row>5</xdr:row>
      <xdr:rowOff>19050</xdr:rowOff>
    </xdr:from>
    <xdr:to>
      <xdr:col>0</xdr:col>
      <xdr:colOff>952500</xdr:colOff>
      <xdr:row>6</xdr:row>
      <xdr:rowOff>76200</xdr:rowOff>
    </xdr:to>
    <xdr:pic>
      <xdr:nvPicPr>
        <xdr:cNvPr id="32866" name="Picture 26">
          <a:hlinkClick xmlns:r="http://schemas.openxmlformats.org/officeDocument/2006/relationships" r:id="rId10" tooltip="Go To Equipment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7150" y="981075"/>
          <a:ext cx="895350" cy="228600"/>
        </a:xfrm>
        <a:prstGeom prst="rect">
          <a:avLst/>
        </a:prstGeom>
        <a:noFill/>
        <a:ln w="9525">
          <a:noFill/>
          <a:miter lim="800000"/>
          <a:headEnd/>
          <a:tailEnd/>
        </a:ln>
      </xdr:spPr>
    </xdr:pic>
    <xdr:clientData fPrintsWithSheet="0"/>
  </xdr:twoCellAnchor>
  <xdr:twoCellAnchor editAs="absolute">
    <xdr:from>
      <xdr:col>0</xdr:col>
      <xdr:colOff>104775</xdr:colOff>
      <xdr:row>6</xdr:row>
      <xdr:rowOff>95250</xdr:rowOff>
    </xdr:from>
    <xdr:to>
      <xdr:col>0</xdr:col>
      <xdr:colOff>333375</xdr:colOff>
      <xdr:row>7</xdr:row>
      <xdr:rowOff>152400</xdr:rowOff>
    </xdr:to>
    <xdr:pic>
      <xdr:nvPicPr>
        <xdr:cNvPr id="32867" name="Picture 27" descr="Code Information">
          <a:hlinkClick xmlns:r="http://schemas.openxmlformats.org/officeDocument/2006/relationships" r:id="rId12" tooltip="Code Information"/>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04775" y="1228725"/>
          <a:ext cx="228600" cy="228600"/>
        </a:xfrm>
        <a:prstGeom prst="rect">
          <a:avLst/>
        </a:prstGeom>
        <a:noFill/>
        <a:ln w="9525">
          <a:noFill/>
          <a:miter lim="800000"/>
          <a:headEnd/>
          <a:tailEnd/>
        </a:ln>
      </xdr:spPr>
    </xdr:pic>
    <xdr:clientData fPrintsWithSheet="0"/>
  </xdr:twoCellAnchor>
  <xdr:twoCellAnchor editAs="absolute">
    <xdr:from>
      <xdr:col>0</xdr:col>
      <xdr:colOff>361950</xdr:colOff>
      <xdr:row>6</xdr:row>
      <xdr:rowOff>95250</xdr:rowOff>
    </xdr:from>
    <xdr:to>
      <xdr:col>0</xdr:col>
      <xdr:colOff>590550</xdr:colOff>
      <xdr:row>7</xdr:row>
      <xdr:rowOff>152400</xdr:rowOff>
    </xdr:to>
    <xdr:pic>
      <xdr:nvPicPr>
        <xdr:cNvPr id="32868" name="Picture 28" descr="help">
          <a:hlinkClick xmlns:r="http://schemas.openxmlformats.org/officeDocument/2006/relationships" r:id="rId14" tooltip="Help"/>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61950" y="1228725"/>
          <a:ext cx="228600" cy="228600"/>
        </a:xfrm>
        <a:prstGeom prst="rect">
          <a:avLst/>
        </a:prstGeom>
        <a:noFill/>
        <a:ln w="9525">
          <a:noFill/>
          <a:miter lim="800000"/>
          <a:headEnd/>
          <a:tailEnd/>
        </a:ln>
      </xdr:spPr>
    </xdr:pic>
    <xdr:clientData fPrintsWithSheet="0"/>
  </xdr:twoCellAnchor>
  <xdr:twoCellAnchor editAs="absolute">
    <xdr:from>
      <xdr:col>0</xdr:col>
      <xdr:colOff>628650</xdr:colOff>
      <xdr:row>6</xdr:row>
      <xdr:rowOff>95250</xdr:rowOff>
    </xdr:from>
    <xdr:to>
      <xdr:col>0</xdr:col>
      <xdr:colOff>857250</xdr:colOff>
      <xdr:row>7</xdr:row>
      <xdr:rowOff>152400</xdr:rowOff>
    </xdr:to>
    <xdr:pic>
      <xdr:nvPicPr>
        <xdr:cNvPr id="32869" name="Picture 29" descr="star">
          <a:hlinkClick xmlns:r="http://schemas.openxmlformats.org/officeDocument/2006/relationships" r:id="rId16" tooltip="Conversions"/>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28650" y="1228725"/>
          <a:ext cx="228600" cy="22860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editAs="oneCell">
        <xdr:from>
          <xdr:col>3</xdr:col>
          <xdr:colOff>57150</xdr:colOff>
          <xdr:row>18</xdr:row>
          <xdr:rowOff>123825</xdr:rowOff>
        </xdr:from>
        <xdr:to>
          <xdr:col>6</xdr:col>
          <xdr:colOff>285750</xdr:colOff>
          <xdr:row>20</xdr:row>
          <xdr:rowOff>19050</xdr:rowOff>
        </xdr:to>
        <xdr:sp macro="" textlink="">
          <xdr:nvSpPr>
            <xdr:cNvPr id="32769" name="Drop Down 1" hidden="1">
              <a:extLst>
                <a:ext uri="{63B3BB69-23CF-44E3-9099-C40C66FF867C}">
                  <a14:compatExt spid="_x0000_s327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95250</xdr:colOff>
          <xdr:row>1</xdr:row>
          <xdr:rowOff>180975</xdr:rowOff>
        </xdr:from>
        <xdr:to>
          <xdr:col>6</xdr:col>
          <xdr:colOff>561975</xdr:colOff>
          <xdr:row>3</xdr:row>
          <xdr:rowOff>47625</xdr:rowOff>
        </xdr:to>
        <xdr:grpSp>
          <xdr:nvGrpSpPr>
            <xdr:cNvPr id="32779" name="Group 11"/>
            <xdr:cNvGrpSpPr>
              <a:grpSpLocks/>
            </xdr:cNvGrpSpPr>
          </xdr:nvGrpSpPr>
          <xdr:grpSpPr bwMode="auto">
            <a:xfrm>
              <a:off x="4067175" y="342900"/>
              <a:ext cx="1076325" cy="266700"/>
              <a:chOff x="7" y="41"/>
              <a:chExt cx="113" cy="28"/>
            </a:xfrm>
          </xdr:grpSpPr>
          <xdr:sp macro="" textlink="">
            <xdr:nvSpPr>
              <xdr:cNvPr id="32780" name="Option Button 12" hidden="1">
                <a:extLst>
                  <a:ext uri="{63B3BB69-23CF-44E3-9099-C40C66FF867C}">
                    <a14:compatExt spid="_x0000_s32780"/>
                  </a:ext>
                </a:extLst>
              </xdr:cNvPr>
              <xdr:cNvSpPr/>
            </xdr:nvSpPr>
            <xdr:spPr>
              <a:xfrm>
                <a:off x="11" y="46"/>
                <a:ext cx="46"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a:t>
                </a:r>
              </a:p>
            </xdr:txBody>
          </xdr:sp>
          <xdr:sp macro="" textlink="">
            <xdr:nvSpPr>
              <xdr:cNvPr id="32781" name="Option Button 13" hidden="1">
                <a:extLst>
                  <a:ext uri="{63B3BB69-23CF-44E3-9099-C40C66FF867C}">
                    <a14:compatExt spid="_x0000_s32781"/>
                  </a:ext>
                </a:extLst>
              </xdr:cNvPr>
              <xdr:cNvSpPr/>
            </xdr:nvSpPr>
            <xdr:spPr>
              <a:xfrm>
                <a:off x="55" y="46"/>
                <a:ext cx="57"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Metric</a:t>
                </a:r>
              </a:p>
            </xdr:txBody>
          </xdr:sp>
          <xdr:sp macro="" textlink="">
            <xdr:nvSpPr>
              <xdr:cNvPr id="32782" name="Group Box 14" hidden="1">
                <a:extLst>
                  <a:ext uri="{63B3BB69-23CF-44E3-9099-C40C66FF867C}">
                    <a14:compatExt spid="_x0000_s32782"/>
                  </a:ext>
                </a:extLst>
              </xdr:cNvPr>
              <xdr:cNvSpPr/>
            </xdr:nvSpPr>
            <xdr:spPr>
              <a:xfrm>
                <a:off x="7" y="41"/>
                <a:ext cx="113" cy="28"/>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Measurement Units</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247650</xdr:colOff>
          <xdr:row>15</xdr:row>
          <xdr:rowOff>114300</xdr:rowOff>
        </xdr:from>
        <xdr:to>
          <xdr:col>6</xdr:col>
          <xdr:colOff>514350</xdr:colOff>
          <xdr:row>16</xdr:row>
          <xdr:rowOff>161925</xdr:rowOff>
        </xdr:to>
        <xdr:sp macro="" textlink="">
          <xdr:nvSpPr>
            <xdr:cNvPr id="32773" name="Option Button 5" hidden="1">
              <a:extLst>
                <a:ext uri="{63B3BB69-23CF-44E3-9099-C40C66FF867C}">
                  <a14:compatExt spid="_x0000_s327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238125</xdr:colOff>
          <xdr:row>16</xdr:row>
          <xdr:rowOff>123825</xdr:rowOff>
        </xdr:from>
        <xdr:to>
          <xdr:col>6</xdr:col>
          <xdr:colOff>400050</xdr:colOff>
          <xdr:row>17</xdr:row>
          <xdr:rowOff>142875</xdr:rowOff>
        </xdr:to>
        <xdr:sp macro="" textlink="">
          <xdr:nvSpPr>
            <xdr:cNvPr id="32774" name="Option Button 6" hidden="1">
              <a:extLst>
                <a:ext uri="{63B3BB69-23CF-44E3-9099-C40C66FF867C}">
                  <a14:compatExt spid="_x0000_s327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Metric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171450</xdr:colOff>
          <xdr:row>15</xdr:row>
          <xdr:rowOff>47625</xdr:rowOff>
        </xdr:from>
        <xdr:to>
          <xdr:col>6</xdr:col>
          <xdr:colOff>523875</xdr:colOff>
          <xdr:row>17</xdr:row>
          <xdr:rowOff>152400</xdr:rowOff>
        </xdr:to>
        <xdr:sp macro="" textlink="">
          <xdr:nvSpPr>
            <xdr:cNvPr id="32775" name="Group Box 7" hidden="1">
              <a:extLst>
                <a:ext uri="{63B3BB69-23CF-44E3-9099-C40C66FF867C}">
                  <a14:compatExt spid="_x0000_s32775"/>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Weight Display</a:t>
              </a:r>
            </a:p>
          </xdr:txBody>
        </xdr:sp>
        <xdr:clientData fLock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14</xdr:row>
      <xdr:rowOff>95250</xdr:rowOff>
    </xdr:from>
    <xdr:to>
      <xdr:col>7</xdr:col>
      <xdr:colOff>0</xdr:colOff>
      <xdr:row>18</xdr:row>
      <xdr:rowOff>47625</xdr:rowOff>
    </xdr:to>
    <xdr:grpSp>
      <xdr:nvGrpSpPr>
        <xdr:cNvPr id="33882" name="Group 3"/>
        <xdr:cNvGrpSpPr>
          <a:grpSpLocks/>
        </xdr:cNvGrpSpPr>
      </xdr:nvGrpSpPr>
      <xdr:grpSpPr bwMode="auto">
        <a:xfrm>
          <a:off x="4048125" y="2695575"/>
          <a:ext cx="1114425" cy="685800"/>
          <a:chOff x="355" y="273"/>
          <a:chExt cx="117" cy="72"/>
        </a:xfrm>
      </xdr:grpSpPr>
      <xdr:sp macro="" textlink="">
        <xdr:nvSpPr>
          <xdr:cNvPr id="33896" name="Rectangle 4"/>
          <xdr:cNvSpPr>
            <a:spLocks noChangeArrowheads="1"/>
          </xdr:cNvSpPr>
        </xdr:nvSpPr>
        <xdr:spPr bwMode="auto">
          <a:xfrm>
            <a:off x="355" y="273"/>
            <a:ext cx="117" cy="72"/>
          </a:xfrm>
          <a:prstGeom prst="rect">
            <a:avLst/>
          </a:prstGeom>
          <a:solidFill>
            <a:srgbClr val="FFFF99"/>
          </a:solidFill>
          <a:ln w="9525">
            <a:solidFill>
              <a:srgbClr val="000000"/>
            </a:solidFill>
            <a:miter lim="800000"/>
            <a:headEnd/>
            <a:tailEnd/>
          </a:ln>
        </xdr:spPr>
      </xdr:sp>
    </xdr:grpSp>
    <xdr:clientData/>
  </xdr:twoCellAnchor>
  <xdr:twoCellAnchor>
    <xdr:from>
      <xdr:col>5</xdr:col>
      <xdr:colOff>19050</xdr:colOff>
      <xdr:row>0</xdr:row>
      <xdr:rowOff>19050</xdr:rowOff>
    </xdr:from>
    <xdr:to>
      <xdr:col>7</xdr:col>
      <xdr:colOff>28575</xdr:colOff>
      <xdr:row>6</xdr:row>
      <xdr:rowOff>57150</xdr:rowOff>
    </xdr:to>
    <xdr:grpSp>
      <xdr:nvGrpSpPr>
        <xdr:cNvPr id="33883" name="Group 8"/>
        <xdr:cNvGrpSpPr>
          <a:grpSpLocks/>
        </xdr:cNvGrpSpPr>
      </xdr:nvGrpSpPr>
      <xdr:grpSpPr bwMode="auto">
        <a:xfrm>
          <a:off x="3962400" y="19050"/>
          <a:ext cx="1228725" cy="1238250"/>
          <a:chOff x="357" y="4"/>
          <a:chExt cx="129" cy="122"/>
        </a:xfrm>
      </xdr:grpSpPr>
      <xdr:sp macro="" textlink="">
        <xdr:nvSpPr>
          <xdr:cNvPr id="33894" name="Rectangle 9"/>
          <xdr:cNvSpPr>
            <a:spLocks noChangeArrowheads="1"/>
          </xdr:cNvSpPr>
        </xdr:nvSpPr>
        <xdr:spPr bwMode="auto">
          <a:xfrm>
            <a:off x="357" y="4"/>
            <a:ext cx="129" cy="122"/>
          </a:xfrm>
          <a:prstGeom prst="rect">
            <a:avLst/>
          </a:prstGeom>
          <a:solidFill>
            <a:srgbClr val="FFFFFF"/>
          </a:solidFill>
          <a:ln w="9525">
            <a:noFill/>
            <a:miter lim="800000"/>
            <a:headEnd/>
            <a:tailEnd/>
          </a:ln>
        </xdr:spPr>
      </xdr:sp>
      <xdr:sp macro="" textlink="">
        <xdr:nvSpPr>
          <xdr:cNvPr id="33895" name="Rectangle 10"/>
          <xdr:cNvSpPr>
            <a:spLocks noChangeArrowheads="1"/>
          </xdr:cNvSpPr>
        </xdr:nvSpPr>
        <xdr:spPr bwMode="auto">
          <a:xfrm>
            <a:off x="358" y="28"/>
            <a:ext cx="126" cy="43"/>
          </a:xfrm>
          <a:prstGeom prst="rect">
            <a:avLst/>
          </a:prstGeom>
          <a:solidFill>
            <a:srgbClr val="FFFF99"/>
          </a:solidFill>
          <a:ln w="9525">
            <a:solidFill>
              <a:srgbClr val="000000"/>
            </a:solidFill>
            <a:miter lim="800000"/>
            <a:headEnd/>
            <a:tailEnd/>
          </a:ln>
        </xdr:spPr>
      </xdr:sp>
    </xdr:grpSp>
    <xdr:clientData/>
  </xdr:twoCellAnchor>
  <xdr:twoCellAnchor>
    <xdr:from>
      <xdr:col>5</xdr:col>
      <xdr:colOff>28575</xdr:colOff>
      <xdr:row>5</xdr:row>
      <xdr:rowOff>190500</xdr:rowOff>
    </xdr:from>
    <xdr:to>
      <xdr:col>7</xdr:col>
      <xdr:colOff>19050</xdr:colOff>
      <xdr:row>8</xdr:row>
      <xdr:rowOff>85725</xdr:rowOff>
    </xdr:to>
    <xdr:sp macro="" textlink="">
      <xdr:nvSpPr>
        <xdr:cNvPr id="33884" name="Rectangle 15"/>
        <xdr:cNvSpPr>
          <a:spLocks noChangeArrowheads="1"/>
        </xdr:cNvSpPr>
      </xdr:nvSpPr>
      <xdr:spPr bwMode="auto">
        <a:xfrm>
          <a:off x="3971925" y="1181100"/>
          <a:ext cx="1209675" cy="476250"/>
        </a:xfrm>
        <a:prstGeom prst="rect">
          <a:avLst/>
        </a:prstGeom>
        <a:solidFill>
          <a:srgbClr val="FFFFFF"/>
        </a:solidFill>
        <a:ln w="9525">
          <a:noFill/>
          <a:miter lim="800000"/>
          <a:headEnd/>
          <a:tailEnd/>
        </a:ln>
      </xdr:spPr>
    </xdr:sp>
    <xdr:clientData/>
  </xdr:twoCellAnchor>
  <xdr:twoCellAnchor editAs="oneCell">
    <xdr:from>
      <xdr:col>7</xdr:col>
      <xdr:colOff>9525</xdr:colOff>
      <xdr:row>1</xdr:row>
      <xdr:rowOff>76200</xdr:rowOff>
    </xdr:from>
    <xdr:to>
      <xdr:col>11</xdr:col>
      <xdr:colOff>457200</xdr:colOff>
      <xdr:row>14</xdr:row>
      <xdr:rowOff>38100</xdr:rowOff>
    </xdr:to>
    <xdr:pic>
      <xdr:nvPicPr>
        <xdr:cNvPr id="33885" name="Picture 16"/>
        <xdr:cNvPicPr>
          <a:picLocks noChangeAspect="1" noChangeArrowheads="1"/>
        </xdr:cNvPicPr>
      </xdr:nvPicPr>
      <xdr:blipFill>
        <a:blip xmlns:r="http://schemas.openxmlformats.org/officeDocument/2006/relationships" r:embed="rId1" cstate="print"/>
        <a:srcRect/>
        <a:stretch>
          <a:fillRect/>
        </a:stretch>
      </xdr:blipFill>
      <xdr:spPr bwMode="auto">
        <a:xfrm>
          <a:off x="5172075" y="238125"/>
          <a:ext cx="2886075" cy="2400300"/>
        </a:xfrm>
        <a:prstGeom prst="rect">
          <a:avLst/>
        </a:prstGeom>
        <a:noFill/>
        <a:ln w="9525">
          <a:noFill/>
          <a:miter lim="800000"/>
          <a:headEnd/>
          <a:tailEnd/>
        </a:ln>
      </xdr:spPr>
    </xdr:pic>
    <xdr:clientData/>
  </xdr:twoCellAnchor>
  <xdr:twoCellAnchor editAs="absolute">
    <xdr:from>
      <xdr:col>0</xdr:col>
      <xdr:colOff>57150</xdr:colOff>
      <xdr:row>0</xdr:row>
      <xdr:rowOff>66675</xdr:rowOff>
    </xdr:from>
    <xdr:to>
      <xdr:col>1</xdr:col>
      <xdr:colOff>133350</xdr:colOff>
      <xdr:row>1</xdr:row>
      <xdr:rowOff>133350</xdr:rowOff>
    </xdr:to>
    <xdr:pic>
      <xdr:nvPicPr>
        <xdr:cNvPr id="33886" name="Picture 22">
          <a:hlinkClick xmlns:r="http://schemas.openxmlformats.org/officeDocument/2006/relationships" r:id="rId2" tooltip="Return to Main Menu"/>
        </xdr:cNvPr>
        <xdr:cNvPicPr>
          <a:picLocks noChangeAspect="1" noChangeArrowheads="1"/>
        </xdr:cNvPicPr>
      </xdr:nvPicPr>
      <xdr:blipFill>
        <a:blip xmlns:r="http://schemas.openxmlformats.org/officeDocument/2006/relationships" r:embed="rId3" cstate="print"/>
        <a:srcRect/>
        <a:stretch>
          <a:fillRect/>
        </a:stretch>
      </xdr:blipFill>
      <xdr:spPr bwMode="auto">
        <a:xfrm>
          <a:off x="57150" y="66675"/>
          <a:ext cx="895350" cy="228600"/>
        </a:xfrm>
        <a:prstGeom prst="rect">
          <a:avLst/>
        </a:prstGeom>
        <a:noFill/>
        <a:ln w="9525">
          <a:noFill/>
          <a:miter lim="800000"/>
          <a:headEnd/>
          <a:tailEnd/>
        </a:ln>
      </xdr:spPr>
    </xdr:pic>
    <xdr:clientData fPrintsWithSheet="0"/>
  </xdr:twoCellAnchor>
  <xdr:twoCellAnchor editAs="absolute">
    <xdr:from>
      <xdr:col>0</xdr:col>
      <xdr:colOff>57150</xdr:colOff>
      <xdr:row>1</xdr:row>
      <xdr:rowOff>142875</xdr:rowOff>
    </xdr:from>
    <xdr:to>
      <xdr:col>1</xdr:col>
      <xdr:colOff>133350</xdr:colOff>
      <xdr:row>2</xdr:row>
      <xdr:rowOff>171450</xdr:rowOff>
    </xdr:to>
    <xdr:pic>
      <xdr:nvPicPr>
        <xdr:cNvPr id="33887" name="Picture 23">
          <a:hlinkClick xmlns:r="http://schemas.openxmlformats.org/officeDocument/2006/relationships" r:id="rId4" tooltip="Go To Master Index"/>
        </xdr:cNvPr>
        <xdr:cNvPicPr>
          <a:picLocks noChangeAspect="1" noChangeArrowheads="1"/>
        </xdr:cNvPicPr>
      </xdr:nvPicPr>
      <xdr:blipFill>
        <a:blip xmlns:r="http://schemas.openxmlformats.org/officeDocument/2006/relationships" r:embed="rId5" cstate="print"/>
        <a:srcRect/>
        <a:stretch>
          <a:fillRect/>
        </a:stretch>
      </xdr:blipFill>
      <xdr:spPr bwMode="auto">
        <a:xfrm>
          <a:off x="57150" y="304800"/>
          <a:ext cx="895350" cy="228600"/>
        </a:xfrm>
        <a:prstGeom prst="rect">
          <a:avLst/>
        </a:prstGeom>
        <a:noFill/>
        <a:ln w="9525">
          <a:noFill/>
          <a:miter lim="800000"/>
          <a:headEnd/>
          <a:tailEnd/>
        </a:ln>
      </xdr:spPr>
    </xdr:pic>
    <xdr:clientData fPrintsWithSheet="0"/>
  </xdr:twoCellAnchor>
  <xdr:twoCellAnchor editAs="absolute">
    <xdr:from>
      <xdr:col>0</xdr:col>
      <xdr:colOff>57150</xdr:colOff>
      <xdr:row>2</xdr:row>
      <xdr:rowOff>200025</xdr:rowOff>
    </xdr:from>
    <xdr:to>
      <xdr:col>1</xdr:col>
      <xdr:colOff>133350</xdr:colOff>
      <xdr:row>4</xdr:row>
      <xdr:rowOff>9525</xdr:rowOff>
    </xdr:to>
    <xdr:pic>
      <xdr:nvPicPr>
        <xdr:cNvPr id="33888" name="Picture 24">
          <a:hlinkClick xmlns:r="http://schemas.openxmlformats.org/officeDocument/2006/relationships" r:id="rId6" tooltip="Go To Weights Menu"/>
        </xdr:cNvPr>
        <xdr:cNvPicPr>
          <a:picLocks noChangeAspect="1" noChangeArrowheads="1"/>
        </xdr:cNvPicPr>
      </xdr:nvPicPr>
      <xdr:blipFill>
        <a:blip xmlns:r="http://schemas.openxmlformats.org/officeDocument/2006/relationships" r:embed="rId7" cstate="print"/>
        <a:srcRect/>
        <a:stretch>
          <a:fillRect/>
        </a:stretch>
      </xdr:blipFill>
      <xdr:spPr bwMode="auto">
        <a:xfrm>
          <a:off x="57150" y="561975"/>
          <a:ext cx="895350" cy="228600"/>
        </a:xfrm>
        <a:prstGeom prst="rect">
          <a:avLst/>
        </a:prstGeom>
        <a:noFill/>
        <a:ln w="9525">
          <a:noFill/>
          <a:miter lim="800000"/>
          <a:headEnd/>
          <a:tailEnd/>
        </a:ln>
      </xdr:spPr>
    </xdr:pic>
    <xdr:clientData fPrintsWithSheet="0"/>
  </xdr:twoCellAnchor>
  <xdr:twoCellAnchor editAs="absolute">
    <xdr:from>
      <xdr:col>0</xdr:col>
      <xdr:colOff>57150</xdr:colOff>
      <xdr:row>4</xdr:row>
      <xdr:rowOff>9525</xdr:rowOff>
    </xdr:from>
    <xdr:to>
      <xdr:col>1</xdr:col>
      <xdr:colOff>133350</xdr:colOff>
      <xdr:row>5</xdr:row>
      <xdr:rowOff>28575</xdr:rowOff>
    </xdr:to>
    <xdr:pic>
      <xdr:nvPicPr>
        <xdr:cNvPr id="33889" name="Picture 25">
          <a:hlinkClick xmlns:r="http://schemas.openxmlformats.org/officeDocument/2006/relationships" r:id="rId8" tooltip="Go To Tension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57150" y="790575"/>
          <a:ext cx="895350" cy="228600"/>
        </a:xfrm>
        <a:prstGeom prst="rect">
          <a:avLst/>
        </a:prstGeom>
        <a:noFill/>
        <a:ln w="9525">
          <a:noFill/>
          <a:miter lim="800000"/>
          <a:headEnd/>
          <a:tailEnd/>
        </a:ln>
      </xdr:spPr>
    </xdr:pic>
    <xdr:clientData fPrintsWithSheet="0"/>
  </xdr:twoCellAnchor>
  <xdr:twoCellAnchor editAs="absolute">
    <xdr:from>
      <xdr:col>0</xdr:col>
      <xdr:colOff>57150</xdr:colOff>
      <xdr:row>5</xdr:row>
      <xdr:rowOff>28575</xdr:rowOff>
    </xdr:from>
    <xdr:to>
      <xdr:col>1</xdr:col>
      <xdr:colOff>133350</xdr:colOff>
      <xdr:row>6</xdr:row>
      <xdr:rowOff>47625</xdr:rowOff>
    </xdr:to>
    <xdr:pic>
      <xdr:nvPicPr>
        <xdr:cNvPr id="33890" name="Picture 26">
          <a:hlinkClick xmlns:r="http://schemas.openxmlformats.org/officeDocument/2006/relationships" r:id="rId10" tooltip="Go To Equipment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7150" y="1019175"/>
          <a:ext cx="895350" cy="228600"/>
        </a:xfrm>
        <a:prstGeom prst="rect">
          <a:avLst/>
        </a:prstGeom>
        <a:noFill/>
        <a:ln w="9525">
          <a:noFill/>
          <a:miter lim="800000"/>
          <a:headEnd/>
          <a:tailEnd/>
        </a:ln>
      </xdr:spPr>
    </xdr:pic>
    <xdr:clientData fPrintsWithSheet="0"/>
  </xdr:twoCellAnchor>
  <xdr:twoCellAnchor editAs="absolute">
    <xdr:from>
      <xdr:col>0</xdr:col>
      <xdr:colOff>114300</xdr:colOff>
      <xdr:row>6</xdr:row>
      <xdr:rowOff>95250</xdr:rowOff>
    </xdr:from>
    <xdr:to>
      <xdr:col>0</xdr:col>
      <xdr:colOff>342900</xdr:colOff>
      <xdr:row>7</xdr:row>
      <xdr:rowOff>114300</xdr:rowOff>
    </xdr:to>
    <xdr:pic>
      <xdr:nvPicPr>
        <xdr:cNvPr id="33891" name="Picture 27" descr="Code Information">
          <a:hlinkClick xmlns:r="http://schemas.openxmlformats.org/officeDocument/2006/relationships" r:id="rId12" tooltip="Code Information"/>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14300" y="1295400"/>
          <a:ext cx="228600" cy="228600"/>
        </a:xfrm>
        <a:prstGeom prst="rect">
          <a:avLst/>
        </a:prstGeom>
        <a:noFill/>
        <a:ln w="9525">
          <a:noFill/>
          <a:miter lim="800000"/>
          <a:headEnd/>
          <a:tailEnd/>
        </a:ln>
      </xdr:spPr>
    </xdr:pic>
    <xdr:clientData fPrintsWithSheet="0"/>
  </xdr:twoCellAnchor>
  <xdr:twoCellAnchor editAs="absolute">
    <xdr:from>
      <xdr:col>0</xdr:col>
      <xdr:colOff>371475</xdr:colOff>
      <xdr:row>6</xdr:row>
      <xdr:rowOff>95250</xdr:rowOff>
    </xdr:from>
    <xdr:to>
      <xdr:col>0</xdr:col>
      <xdr:colOff>600075</xdr:colOff>
      <xdr:row>7</xdr:row>
      <xdr:rowOff>114300</xdr:rowOff>
    </xdr:to>
    <xdr:pic>
      <xdr:nvPicPr>
        <xdr:cNvPr id="33892" name="Picture 28" descr="help">
          <a:hlinkClick xmlns:r="http://schemas.openxmlformats.org/officeDocument/2006/relationships" r:id="rId14" tooltip="Help"/>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71475" y="1295400"/>
          <a:ext cx="228600" cy="228600"/>
        </a:xfrm>
        <a:prstGeom prst="rect">
          <a:avLst/>
        </a:prstGeom>
        <a:noFill/>
        <a:ln w="9525">
          <a:noFill/>
          <a:miter lim="800000"/>
          <a:headEnd/>
          <a:tailEnd/>
        </a:ln>
      </xdr:spPr>
    </xdr:pic>
    <xdr:clientData fPrintsWithSheet="0"/>
  </xdr:twoCellAnchor>
  <xdr:twoCellAnchor editAs="absolute">
    <xdr:from>
      <xdr:col>0</xdr:col>
      <xdr:colOff>638175</xdr:colOff>
      <xdr:row>6</xdr:row>
      <xdr:rowOff>95250</xdr:rowOff>
    </xdr:from>
    <xdr:to>
      <xdr:col>1</xdr:col>
      <xdr:colOff>47625</xdr:colOff>
      <xdr:row>7</xdr:row>
      <xdr:rowOff>114300</xdr:rowOff>
    </xdr:to>
    <xdr:pic>
      <xdr:nvPicPr>
        <xdr:cNvPr id="33893" name="Picture 29" descr="star">
          <a:hlinkClick xmlns:r="http://schemas.openxmlformats.org/officeDocument/2006/relationships" r:id="rId16" tooltip="Conversions"/>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38175" y="1295400"/>
          <a:ext cx="228600" cy="22860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editAs="oneCell">
        <xdr:from>
          <xdr:col>3</xdr:col>
          <xdr:colOff>57150</xdr:colOff>
          <xdr:row>18</xdr:row>
          <xdr:rowOff>123825</xdr:rowOff>
        </xdr:from>
        <xdr:to>
          <xdr:col>6</xdr:col>
          <xdr:colOff>285750</xdr:colOff>
          <xdr:row>20</xdr:row>
          <xdr:rowOff>19050</xdr:rowOff>
        </xdr:to>
        <xdr:sp macro="" textlink="">
          <xdr:nvSpPr>
            <xdr:cNvPr id="33793" name="Drop Down 1" hidden="1">
              <a:extLst>
                <a:ext uri="{63B3BB69-23CF-44E3-9099-C40C66FF867C}">
                  <a14:compatExt spid="_x0000_s337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95250</xdr:colOff>
          <xdr:row>1</xdr:row>
          <xdr:rowOff>180975</xdr:rowOff>
        </xdr:from>
        <xdr:to>
          <xdr:col>6</xdr:col>
          <xdr:colOff>561975</xdr:colOff>
          <xdr:row>3</xdr:row>
          <xdr:rowOff>57150</xdr:rowOff>
        </xdr:to>
        <xdr:grpSp>
          <xdr:nvGrpSpPr>
            <xdr:cNvPr id="33803" name="Group 11"/>
            <xdr:cNvGrpSpPr>
              <a:grpSpLocks/>
            </xdr:cNvGrpSpPr>
          </xdr:nvGrpSpPr>
          <xdr:grpSpPr bwMode="auto">
            <a:xfrm>
              <a:off x="4038600" y="342900"/>
              <a:ext cx="1076325" cy="285750"/>
              <a:chOff x="7" y="41"/>
              <a:chExt cx="113" cy="28"/>
            </a:xfrm>
          </xdr:grpSpPr>
          <xdr:sp macro="" textlink="">
            <xdr:nvSpPr>
              <xdr:cNvPr id="33804" name="Option Button 12" hidden="1">
                <a:extLst>
                  <a:ext uri="{63B3BB69-23CF-44E3-9099-C40C66FF867C}">
                    <a14:compatExt spid="_x0000_s33804"/>
                  </a:ext>
                </a:extLst>
              </xdr:cNvPr>
              <xdr:cNvSpPr/>
            </xdr:nvSpPr>
            <xdr:spPr>
              <a:xfrm>
                <a:off x="11" y="46"/>
                <a:ext cx="46"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a:t>
                </a:r>
              </a:p>
            </xdr:txBody>
          </xdr:sp>
          <xdr:sp macro="" textlink="">
            <xdr:nvSpPr>
              <xdr:cNvPr id="33805" name="Option Button 13" hidden="1">
                <a:extLst>
                  <a:ext uri="{63B3BB69-23CF-44E3-9099-C40C66FF867C}">
                    <a14:compatExt spid="_x0000_s33805"/>
                  </a:ext>
                </a:extLst>
              </xdr:cNvPr>
              <xdr:cNvSpPr/>
            </xdr:nvSpPr>
            <xdr:spPr>
              <a:xfrm>
                <a:off x="55" y="46"/>
                <a:ext cx="57"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Metric</a:t>
                </a:r>
              </a:p>
            </xdr:txBody>
          </xdr:sp>
          <xdr:sp macro="" textlink="">
            <xdr:nvSpPr>
              <xdr:cNvPr id="33806" name="Group Box 14" hidden="1">
                <a:extLst>
                  <a:ext uri="{63B3BB69-23CF-44E3-9099-C40C66FF867C}">
                    <a14:compatExt spid="_x0000_s33806"/>
                  </a:ext>
                </a:extLst>
              </xdr:cNvPr>
              <xdr:cNvSpPr/>
            </xdr:nvSpPr>
            <xdr:spPr>
              <a:xfrm>
                <a:off x="7" y="41"/>
                <a:ext cx="113" cy="28"/>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Measurement Units</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247650</xdr:colOff>
          <xdr:row>15</xdr:row>
          <xdr:rowOff>114300</xdr:rowOff>
        </xdr:from>
        <xdr:to>
          <xdr:col>6</xdr:col>
          <xdr:colOff>514350</xdr:colOff>
          <xdr:row>16</xdr:row>
          <xdr:rowOff>161925</xdr:rowOff>
        </xdr:to>
        <xdr:sp macro="" textlink="">
          <xdr:nvSpPr>
            <xdr:cNvPr id="33797" name="Option Button 5" hidden="1">
              <a:extLst>
                <a:ext uri="{63B3BB69-23CF-44E3-9099-C40C66FF867C}">
                  <a14:compatExt spid="_x0000_s337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238125</xdr:colOff>
          <xdr:row>16</xdr:row>
          <xdr:rowOff>123825</xdr:rowOff>
        </xdr:from>
        <xdr:to>
          <xdr:col>6</xdr:col>
          <xdr:colOff>400050</xdr:colOff>
          <xdr:row>17</xdr:row>
          <xdr:rowOff>142875</xdr:rowOff>
        </xdr:to>
        <xdr:sp macro="" textlink="">
          <xdr:nvSpPr>
            <xdr:cNvPr id="33798" name="Option Button 6" hidden="1">
              <a:extLst>
                <a:ext uri="{63B3BB69-23CF-44E3-9099-C40C66FF867C}">
                  <a14:compatExt spid="_x0000_s337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Metric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171450</xdr:colOff>
          <xdr:row>15</xdr:row>
          <xdr:rowOff>47625</xdr:rowOff>
        </xdr:from>
        <xdr:to>
          <xdr:col>6</xdr:col>
          <xdr:colOff>523875</xdr:colOff>
          <xdr:row>17</xdr:row>
          <xdr:rowOff>152400</xdr:rowOff>
        </xdr:to>
        <xdr:sp macro="" textlink="">
          <xdr:nvSpPr>
            <xdr:cNvPr id="33799" name="Group Box 7" hidden="1">
              <a:extLst>
                <a:ext uri="{63B3BB69-23CF-44E3-9099-C40C66FF867C}">
                  <a14:compatExt spid="_x0000_s33799"/>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Weight Display</a:t>
              </a:r>
            </a:p>
          </xdr:txBody>
        </xdr:sp>
        <xdr:clientData fLock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4</xdr:col>
      <xdr:colOff>104775</xdr:colOff>
      <xdr:row>14</xdr:row>
      <xdr:rowOff>95250</xdr:rowOff>
    </xdr:from>
    <xdr:to>
      <xdr:col>6</xdr:col>
      <xdr:colOff>0</xdr:colOff>
      <xdr:row>18</xdr:row>
      <xdr:rowOff>47625</xdr:rowOff>
    </xdr:to>
    <xdr:grpSp>
      <xdr:nvGrpSpPr>
        <xdr:cNvPr id="34901" name="Group 3"/>
        <xdr:cNvGrpSpPr>
          <a:grpSpLocks/>
        </xdr:cNvGrpSpPr>
      </xdr:nvGrpSpPr>
      <xdr:grpSpPr bwMode="auto">
        <a:xfrm>
          <a:off x="3457575" y="2571750"/>
          <a:ext cx="1114425" cy="685800"/>
          <a:chOff x="355" y="273"/>
          <a:chExt cx="117" cy="72"/>
        </a:xfrm>
      </xdr:grpSpPr>
      <xdr:sp macro="" textlink="">
        <xdr:nvSpPr>
          <xdr:cNvPr id="34914" name="Rectangle 4"/>
          <xdr:cNvSpPr>
            <a:spLocks noChangeArrowheads="1"/>
          </xdr:cNvSpPr>
        </xdr:nvSpPr>
        <xdr:spPr bwMode="auto">
          <a:xfrm>
            <a:off x="355" y="273"/>
            <a:ext cx="117" cy="72"/>
          </a:xfrm>
          <a:prstGeom prst="rect">
            <a:avLst/>
          </a:prstGeom>
          <a:solidFill>
            <a:srgbClr val="FFFF99"/>
          </a:solidFill>
          <a:ln w="9525">
            <a:solidFill>
              <a:srgbClr val="000000"/>
            </a:solidFill>
            <a:miter lim="800000"/>
            <a:headEnd/>
            <a:tailEnd/>
          </a:ln>
        </xdr:spPr>
      </xdr:sp>
    </xdr:grpSp>
    <xdr:clientData/>
  </xdr:twoCellAnchor>
  <xdr:twoCellAnchor>
    <xdr:from>
      <xdr:col>4</xdr:col>
      <xdr:colOff>28575</xdr:colOff>
      <xdr:row>0</xdr:row>
      <xdr:rowOff>19050</xdr:rowOff>
    </xdr:from>
    <xdr:to>
      <xdr:col>6</xdr:col>
      <xdr:colOff>38100</xdr:colOff>
      <xdr:row>6</xdr:row>
      <xdr:rowOff>47625</xdr:rowOff>
    </xdr:to>
    <xdr:grpSp>
      <xdr:nvGrpSpPr>
        <xdr:cNvPr id="34902" name="Group 8"/>
        <xdr:cNvGrpSpPr>
          <a:grpSpLocks/>
        </xdr:cNvGrpSpPr>
      </xdr:nvGrpSpPr>
      <xdr:grpSpPr bwMode="auto">
        <a:xfrm>
          <a:off x="3381375" y="19050"/>
          <a:ext cx="1228725" cy="1162050"/>
          <a:chOff x="357" y="4"/>
          <a:chExt cx="129" cy="122"/>
        </a:xfrm>
      </xdr:grpSpPr>
      <xdr:sp macro="" textlink="">
        <xdr:nvSpPr>
          <xdr:cNvPr id="34912" name="Rectangle 9"/>
          <xdr:cNvSpPr>
            <a:spLocks noChangeArrowheads="1"/>
          </xdr:cNvSpPr>
        </xdr:nvSpPr>
        <xdr:spPr bwMode="auto">
          <a:xfrm>
            <a:off x="357" y="4"/>
            <a:ext cx="129" cy="122"/>
          </a:xfrm>
          <a:prstGeom prst="rect">
            <a:avLst/>
          </a:prstGeom>
          <a:solidFill>
            <a:srgbClr val="FFFFFF"/>
          </a:solidFill>
          <a:ln w="9525">
            <a:noFill/>
            <a:miter lim="800000"/>
            <a:headEnd/>
            <a:tailEnd/>
          </a:ln>
        </xdr:spPr>
      </xdr:sp>
      <xdr:sp macro="" textlink="">
        <xdr:nvSpPr>
          <xdr:cNvPr id="34913" name="Rectangle 10"/>
          <xdr:cNvSpPr>
            <a:spLocks noChangeArrowheads="1"/>
          </xdr:cNvSpPr>
        </xdr:nvSpPr>
        <xdr:spPr bwMode="auto">
          <a:xfrm>
            <a:off x="358" y="28"/>
            <a:ext cx="126" cy="43"/>
          </a:xfrm>
          <a:prstGeom prst="rect">
            <a:avLst/>
          </a:prstGeom>
          <a:solidFill>
            <a:srgbClr val="FFFF99"/>
          </a:solidFill>
          <a:ln w="9525">
            <a:solidFill>
              <a:srgbClr val="000000"/>
            </a:solidFill>
            <a:miter lim="800000"/>
            <a:headEnd/>
            <a:tailEnd/>
          </a:ln>
        </xdr:spPr>
      </xdr:sp>
    </xdr:grpSp>
    <xdr:clientData/>
  </xdr:twoCellAnchor>
  <xdr:twoCellAnchor editAs="oneCell">
    <xdr:from>
      <xdr:col>6</xdr:col>
      <xdr:colOff>66675</xdr:colOff>
      <xdr:row>1</xdr:row>
      <xdr:rowOff>180975</xdr:rowOff>
    </xdr:from>
    <xdr:to>
      <xdr:col>9</xdr:col>
      <xdr:colOff>495300</xdr:colOff>
      <xdr:row>15</xdr:row>
      <xdr:rowOff>9525</xdr:rowOff>
    </xdr:to>
    <xdr:pic>
      <xdr:nvPicPr>
        <xdr:cNvPr id="34903"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4638675" y="342900"/>
          <a:ext cx="2257425" cy="2305050"/>
        </a:xfrm>
        <a:prstGeom prst="rect">
          <a:avLst/>
        </a:prstGeom>
        <a:noFill/>
        <a:ln w="9525">
          <a:noFill/>
          <a:miter lim="800000"/>
          <a:headEnd/>
          <a:tailEnd/>
        </a:ln>
      </xdr:spPr>
    </xdr:pic>
    <xdr:clientData/>
  </xdr:twoCellAnchor>
  <xdr:twoCellAnchor editAs="absolute">
    <xdr:from>
      <xdr:col>0</xdr:col>
      <xdr:colOff>57150</xdr:colOff>
      <xdr:row>0</xdr:row>
      <xdr:rowOff>47625</xdr:rowOff>
    </xdr:from>
    <xdr:to>
      <xdr:col>0</xdr:col>
      <xdr:colOff>952500</xdr:colOff>
      <xdr:row>1</xdr:row>
      <xdr:rowOff>114300</xdr:rowOff>
    </xdr:to>
    <xdr:pic>
      <xdr:nvPicPr>
        <xdr:cNvPr id="34904" name="Picture 21">
          <a:hlinkClick xmlns:r="http://schemas.openxmlformats.org/officeDocument/2006/relationships" r:id="rId2" tooltip="Return to Main Menu"/>
        </xdr:cNvPr>
        <xdr:cNvPicPr>
          <a:picLocks noChangeAspect="1" noChangeArrowheads="1"/>
        </xdr:cNvPicPr>
      </xdr:nvPicPr>
      <xdr:blipFill>
        <a:blip xmlns:r="http://schemas.openxmlformats.org/officeDocument/2006/relationships" r:embed="rId3" cstate="print"/>
        <a:srcRect/>
        <a:stretch>
          <a:fillRect/>
        </a:stretch>
      </xdr:blipFill>
      <xdr:spPr bwMode="auto">
        <a:xfrm>
          <a:off x="57150" y="47625"/>
          <a:ext cx="895350" cy="228600"/>
        </a:xfrm>
        <a:prstGeom prst="rect">
          <a:avLst/>
        </a:prstGeom>
        <a:noFill/>
        <a:ln w="9525">
          <a:noFill/>
          <a:miter lim="800000"/>
          <a:headEnd/>
          <a:tailEnd/>
        </a:ln>
      </xdr:spPr>
    </xdr:pic>
    <xdr:clientData fPrintsWithSheet="0"/>
  </xdr:twoCellAnchor>
  <xdr:twoCellAnchor editAs="absolute">
    <xdr:from>
      <xdr:col>0</xdr:col>
      <xdr:colOff>57150</xdr:colOff>
      <xdr:row>1</xdr:row>
      <xdr:rowOff>123825</xdr:rowOff>
    </xdr:from>
    <xdr:to>
      <xdr:col>0</xdr:col>
      <xdr:colOff>952500</xdr:colOff>
      <xdr:row>2</xdr:row>
      <xdr:rowOff>152400</xdr:rowOff>
    </xdr:to>
    <xdr:pic>
      <xdr:nvPicPr>
        <xdr:cNvPr id="34905" name="Picture 22">
          <a:hlinkClick xmlns:r="http://schemas.openxmlformats.org/officeDocument/2006/relationships" r:id="rId4" tooltip="Go To Master Index"/>
        </xdr:cNvPr>
        <xdr:cNvPicPr>
          <a:picLocks noChangeAspect="1" noChangeArrowheads="1"/>
        </xdr:cNvPicPr>
      </xdr:nvPicPr>
      <xdr:blipFill>
        <a:blip xmlns:r="http://schemas.openxmlformats.org/officeDocument/2006/relationships" r:embed="rId5" cstate="print"/>
        <a:srcRect/>
        <a:stretch>
          <a:fillRect/>
        </a:stretch>
      </xdr:blipFill>
      <xdr:spPr bwMode="auto">
        <a:xfrm>
          <a:off x="57150" y="285750"/>
          <a:ext cx="895350" cy="228600"/>
        </a:xfrm>
        <a:prstGeom prst="rect">
          <a:avLst/>
        </a:prstGeom>
        <a:noFill/>
        <a:ln w="9525">
          <a:noFill/>
          <a:miter lim="800000"/>
          <a:headEnd/>
          <a:tailEnd/>
        </a:ln>
      </xdr:spPr>
    </xdr:pic>
    <xdr:clientData fPrintsWithSheet="0"/>
  </xdr:twoCellAnchor>
  <xdr:twoCellAnchor editAs="absolute">
    <xdr:from>
      <xdr:col>0</xdr:col>
      <xdr:colOff>57150</xdr:colOff>
      <xdr:row>2</xdr:row>
      <xdr:rowOff>180975</xdr:rowOff>
    </xdr:from>
    <xdr:to>
      <xdr:col>0</xdr:col>
      <xdr:colOff>952500</xdr:colOff>
      <xdr:row>4</xdr:row>
      <xdr:rowOff>9525</xdr:rowOff>
    </xdr:to>
    <xdr:pic>
      <xdr:nvPicPr>
        <xdr:cNvPr id="34906" name="Picture 23">
          <a:hlinkClick xmlns:r="http://schemas.openxmlformats.org/officeDocument/2006/relationships" r:id="rId6" tooltip="Go To Weights Menu"/>
        </xdr:cNvPr>
        <xdr:cNvPicPr>
          <a:picLocks noChangeAspect="1" noChangeArrowheads="1"/>
        </xdr:cNvPicPr>
      </xdr:nvPicPr>
      <xdr:blipFill>
        <a:blip xmlns:r="http://schemas.openxmlformats.org/officeDocument/2006/relationships" r:embed="rId7" cstate="print"/>
        <a:srcRect/>
        <a:stretch>
          <a:fillRect/>
        </a:stretch>
      </xdr:blipFill>
      <xdr:spPr bwMode="auto">
        <a:xfrm>
          <a:off x="57150" y="542925"/>
          <a:ext cx="895350" cy="228600"/>
        </a:xfrm>
        <a:prstGeom prst="rect">
          <a:avLst/>
        </a:prstGeom>
        <a:noFill/>
        <a:ln w="9525">
          <a:noFill/>
          <a:miter lim="800000"/>
          <a:headEnd/>
          <a:tailEnd/>
        </a:ln>
      </xdr:spPr>
    </xdr:pic>
    <xdr:clientData fPrintsWithSheet="0"/>
  </xdr:twoCellAnchor>
  <xdr:twoCellAnchor editAs="absolute">
    <xdr:from>
      <xdr:col>0</xdr:col>
      <xdr:colOff>57150</xdr:colOff>
      <xdr:row>4</xdr:row>
      <xdr:rowOff>9525</xdr:rowOff>
    </xdr:from>
    <xdr:to>
      <xdr:col>0</xdr:col>
      <xdr:colOff>952500</xdr:colOff>
      <xdr:row>5</xdr:row>
      <xdr:rowOff>38100</xdr:rowOff>
    </xdr:to>
    <xdr:pic>
      <xdr:nvPicPr>
        <xdr:cNvPr id="34907" name="Picture 24">
          <a:hlinkClick xmlns:r="http://schemas.openxmlformats.org/officeDocument/2006/relationships" r:id="rId8" tooltip="Go To Tension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57150" y="771525"/>
          <a:ext cx="895350" cy="228600"/>
        </a:xfrm>
        <a:prstGeom prst="rect">
          <a:avLst/>
        </a:prstGeom>
        <a:noFill/>
        <a:ln w="9525">
          <a:noFill/>
          <a:miter lim="800000"/>
          <a:headEnd/>
          <a:tailEnd/>
        </a:ln>
      </xdr:spPr>
    </xdr:pic>
    <xdr:clientData fPrintsWithSheet="0"/>
  </xdr:twoCellAnchor>
  <xdr:twoCellAnchor editAs="absolute">
    <xdr:from>
      <xdr:col>0</xdr:col>
      <xdr:colOff>57150</xdr:colOff>
      <xdr:row>5</xdr:row>
      <xdr:rowOff>38100</xdr:rowOff>
    </xdr:from>
    <xdr:to>
      <xdr:col>0</xdr:col>
      <xdr:colOff>952500</xdr:colOff>
      <xdr:row>6</xdr:row>
      <xdr:rowOff>95250</xdr:rowOff>
    </xdr:to>
    <xdr:pic>
      <xdr:nvPicPr>
        <xdr:cNvPr id="34908" name="Picture 25">
          <a:hlinkClick xmlns:r="http://schemas.openxmlformats.org/officeDocument/2006/relationships" r:id="rId10" tooltip="Go To Equipment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7150" y="1000125"/>
          <a:ext cx="895350" cy="228600"/>
        </a:xfrm>
        <a:prstGeom prst="rect">
          <a:avLst/>
        </a:prstGeom>
        <a:noFill/>
        <a:ln w="9525">
          <a:noFill/>
          <a:miter lim="800000"/>
          <a:headEnd/>
          <a:tailEnd/>
        </a:ln>
      </xdr:spPr>
    </xdr:pic>
    <xdr:clientData fPrintsWithSheet="0"/>
  </xdr:twoCellAnchor>
  <xdr:twoCellAnchor editAs="absolute">
    <xdr:from>
      <xdr:col>0</xdr:col>
      <xdr:colOff>114300</xdr:colOff>
      <xdr:row>6</xdr:row>
      <xdr:rowOff>123825</xdr:rowOff>
    </xdr:from>
    <xdr:to>
      <xdr:col>0</xdr:col>
      <xdr:colOff>342900</xdr:colOff>
      <xdr:row>8</xdr:row>
      <xdr:rowOff>0</xdr:rowOff>
    </xdr:to>
    <xdr:pic>
      <xdr:nvPicPr>
        <xdr:cNvPr id="34909" name="Picture 26" descr="Code Information">
          <a:hlinkClick xmlns:r="http://schemas.openxmlformats.org/officeDocument/2006/relationships" r:id="rId12" tooltip="Code Information"/>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14300" y="1257300"/>
          <a:ext cx="228600" cy="228600"/>
        </a:xfrm>
        <a:prstGeom prst="rect">
          <a:avLst/>
        </a:prstGeom>
        <a:noFill/>
        <a:ln w="9525">
          <a:noFill/>
          <a:miter lim="800000"/>
          <a:headEnd/>
          <a:tailEnd/>
        </a:ln>
      </xdr:spPr>
    </xdr:pic>
    <xdr:clientData fPrintsWithSheet="0"/>
  </xdr:twoCellAnchor>
  <xdr:twoCellAnchor editAs="absolute">
    <xdr:from>
      <xdr:col>0</xdr:col>
      <xdr:colOff>371475</xdr:colOff>
      <xdr:row>6</xdr:row>
      <xdr:rowOff>123825</xdr:rowOff>
    </xdr:from>
    <xdr:to>
      <xdr:col>0</xdr:col>
      <xdr:colOff>600075</xdr:colOff>
      <xdr:row>8</xdr:row>
      <xdr:rowOff>0</xdr:rowOff>
    </xdr:to>
    <xdr:pic>
      <xdr:nvPicPr>
        <xdr:cNvPr id="34910" name="Picture 27" descr="help">
          <a:hlinkClick xmlns:r="http://schemas.openxmlformats.org/officeDocument/2006/relationships" r:id="rId14" tooltip="Help"/>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71475" y="1257300"/>
          <a:ext cx="228600" cy="228600"/>
        </a:xfrm>
        <a:prstGeom prst="rect">
          <a:avLst/>
        </a:prstGeom>
        <a:noFill/>
        <a:ln w="9525">
          <a:noFill/>
          <a:miter lim="800000"/>
          <a:headEnd/>
          <a:tailEnd/>
        </a:ln>
      </xdr:spPr>
    </xdr:pic>
    <xdr:clientData fPrintsWithSheet="0"/>
  </xdr:twoCellAnchor>
  <xdr:twoCellAnchor editAs="absolute">
    <xdr:from>
      <xdr:col>0</xdr:col>
      <xdr:colOff>638175</xdr:colOff>
      <xdr:row>6</xdr:row>
      <xdr:rowOff>123825</xdr:rowOff>
    </xdr:from>
    <xdr:to>
      <xdr:col>0</xdr:col>
      <xdr:colOff>866775</xdr:colOff>
      <xdr:row>8</xdr:row>
      <xdr:rowOff>0</xdr:rowOff>
    </xdr:to>
    <xdr:pic>
      <xdr:nvPicPr>
        <xdr:cNvPr id="34911" name="Picture 28" descr="star">
          <a:hlinkClick xmlns:r="http://schemas.openxmlformats.org/officeDocument/2006/relationships" r:id="rId16" tooltip="Conversions"/>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38175" y="1257300"/>
          <a:ext cx="228600" cy="22860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editAs="oneCell">
        <xdr:from>
          <xdr:col>2</xdr:col>
          <xdr:colOff>57150</xdr:colOff>
          <xdr:row>18</xdr:row>
          <xdr:rowOff>123825</xdr:rowOff>
        </xdr:from>
        <xdr:to>
          <xdr:col>5</xdr:col>
          <xdr:colOff>285750</xdr:colOff>
          <xdr:row>20</xdr:row>
          <xdr:rowOff>19050</xdr:rowOff>
        </xdr:to>
        <xdr:sp macro="" textlink="">
          <xdr:nvSpPr>
            <xdr:cNvPr id="34817" name="Drop Down 1" hidden="1">
              <a:extLst>
                <a:ext uri="{63B3BB69-23CF-44E3-9099-C40C66FF867C}">
                  <a14:compatExt spid="_x0000_s348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1</xdr:row>
          <xdr:rowOff>161925</xdr:rowOff>
        </xdr:from>
        <xdr:to>
          <xdr:col>5</xdr:col>
          <xdr:colOff>571500</xdr:colOff>
          <xdr:row>3</xdr:row>
          <xdr:rowOff>28575</xdr:rowOff>
        </xdr:to>
        <xdr:grpSp>
          <xdr:nvGrpSpPr>
            <xdr:cNvPr id="34827" name="Group 11"/>
            <xdr:cNvGrpSpPr>
              <a:grpSpLocks/>
            </xdr:cNvGrpSpPr>
          </xdr:nvGrpSpPr>
          <xdr:grpSpPr bwMode="auto">
            <a:xfrm>
              <a:off x="3457575" y="323850"/>
              <a:ext cx="1076325" cy="266700"/>
              <a:chOff x="7" y="41"/>
              <a:chExt cx="113" cy="28"/>
            </a:xfrm>
          </xdr:grpSpPr>
          <xdr:sp macro="" textlink="">
            <xdr:nvSpPr>
              <xdr:cNvPr id="34828" name="Option Button 12" hidden="1">
                <a:extLst>
                  <a:ext uri="{63B3BB69-23CF-44E3-9099-C40C66FF867C}">
                    <a14:compatExt spid="_x0000_s34828"/>
                  </a:ext>
                </a:extLst>
              </xdr:cNvPr>
              <xdr:cNvSpPr/>
            </xdr:nvSpPr>
            <xdr:spPr>
              <a:xfrm>
                <a:off x="11" y="46"/>
                <a:ext cx="46"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a:t>
                </a:r>
              </a:p>
            </xdr:txBody>
          </xdr:sp>
          <xdr:sp macro="" textlink="">
            <xdr:nvSpPr>
              <xdr:cNvPr id="34829" name="Option Button 13" hidden="1">
                <a:extLst>
                  <a:ext uri="{63B3BB69-23CF-44E3-9099-C40C66FF867C}">
                    <a14:compatExt spid="_x0000_s34829"/>
                  </a:ext>
                </a:extLst>
              </xdr:cNvPr>
              <xdr:cNvSpPr/>
            </xdr:nvSpPr>
            <xdr:spPr>
              <a:xfrm>
                <a:off x="55" y="46"/>
                <a:ext cx="57"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Metric</a:t>
                </a:r>
              </a:p>
            </xdr:txBody>
          </xdr:sp>
          <xdr:sp macro="" textlink="">
            <xdr:nvSpPr>
              <xdr:cNvPr id="34830" name="Group Box 14" hidden="1">
                <a:extLst>
                  <a:ext uri="{63B3BB69-23CF-44E3-9099-C40C66FF867C}">
                    <a14:compatExt spid="_x0000_s34830"/>
                  </a:ext>
                </a:extLst>
              </xdr:cNvPr>
              <xdr:cNvSpPr/>
            </xdr:nvSpPr>
            <xdr:spPr>
              <a:xfrm>
                <a:off x="7" y="41"/>
                <a:ext cx="113" cy="28"/>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Measurement Units</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247650</xdr:colOff>
          <xdr:row>15</xdr:row>
          <xdr:rowOff>114300</xdr:rowOff>
        </xdr:from>
        <xdr:to>
          <xdr:col>5</xdr:col>
          <xdr:colOff>514350</xdr:colOff>
          <xdr:row>16</xdr:row>
          <xdr:rowOff>161925</xdr:rowOff>
        </xdr:to>
        <xdr:sp macro="" textlink="">
          <xdr:nvSpPr>
            <xdr:cNvPr id="34821" name="Option Button 5" hidden="1">
              <a:extLst>
                <a:ext uri="{63B3BB69-23CF-44E3-9099-C40C66FF867C}">
                  <a14:compatExt spid="_x0000_s348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238125</xdr:colOff>
          <xdr:row>16</xdr:row>
          <xdr:rowOff>123825</xdr:rowOff>
        </xdr:from>
        <xdr:to>
          <xdr:col>5</xdr:col>
          <xdr:colOff>400050</xdr:colOff>
          <xdr:row>17</xdr:row>
          <xdr:rowOff>142875</xdr:rowOff>
        </xdr:to>
        <xdr:sp macro="" textlink="">
          <xdr:nvSpPr>
            <xdr:cNvPr id="34822" name="Option Button 6" hidden="1">
              <a:extLst>
                <a:ext uri="{63B3BB69-23CF-44E3-9099-C40C66FF867C}">
                  <a14:compatExt spid="_x0000_s348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Metric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15</xdr:row>
          <xdr:rowOff>47625</xdr:rowOff>
        </xdr:from>
        <xdr:to>
          <xdr:col>5</xdr:col>
          <xdr:colOff>523875</xdr:colOff>
          <xdr:row>17</xdr:row>
          <xdr:rowOff>152400</xdr:rowOff>
        </xdr:to>
        <xdr:sp macro="" textlink="">
          <xdr:nvSpPr>
            <xdr:cNvPr id="34823" name="Group Box 7" hidden="1">
              <a:extLst>
                <a:ext uri="{63B3BB69-23CF-44E3-9099-C40C66FF867C}">
                  <a14:compatExt spid="_x0000_s34823"/>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Weight Display</a:t>
              </a:r>
            </a:p>
          </xdr:txBody>
        </xdr:sp>
        <xdr:clientData fLock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4</xdr:col>
      <xdr:colOff>104775</xdr:colOff>
      <xdr:row>14</xdr:row>
      <xdr:rowOff>95250</xdr:rowOff>
    </xdr:from>
    <xdr:to>
      <xdr:col>6</xdr:col>
      <xdr:colOff>0</xdr:colOff>
      <xdr:row>18</xdr:row>
      <xdr:rowOff>47625</xdr:rowOff>
    </xdr:to>
    <xdr:grpSp>
      <xdr:nvGrpSpPr>
        <xdr:cNvPr id="35925" name="Group 3"/>
        <xdr:cNvGrpSpPr>
          <a:grpSpLocks/>
        </xdr:cNvGrpSpPr>
      </xdr:nvGrpSpPr>
      <xdr:grpSpPr bwMode="auto">
        <a:xfrm>
          <a:off x="3352800" y="2571750"/>
          <a:ext cx="1114425" cy="685800"/>
          <a:chOff x="355" y="273"/>
          <a:chExt cx="117" cy="72"/>
        </a:xfrm>
      </xdr:grpSpPr>
      <xdr:sp macro="" textlink="">
        <xdr:nvSpPr>
          <xdr:cNvPr id="35938" name="Rectangle 4"/>
          <xdr:cNvSpPr>
            <a:spLocks noChangeArrowheads="1"/>
          </xdr:cNvSpPr>
        </xdr:nvSpPr>
        <xdr:spPr bwMode="auto">
          <a:xfrm>
            <a:off x="355" y="273"/>
            <a:ext cx="117" cy="72"/>
          </a:xfrm>
          <a:prstGeom prst="rect">
            <a:avLst/>
          </a:prstGeom>
          <a:solidFill>
            <a:srgbClr val="FFFF99"/>
          </a:solidFill>
          <a:ln w="9525">
            <a:solidFill>
              <a:srgbClr val="000000"/>
            </a:solidFill>
            <a:miter lim="800000"/>
            <a:headEnd/>
            <a:tailEnd/>
          </a:ln>
        </xdr:spPr>
      </xdr:sp>
    </xdr:grpSp>
    <xdr:clientData/>
  </xdr:twoCellAnchor>
  <xdr:twoCellAnchor>
    <xdr:from>
      <xdr:col>4</xdr:col>
      <xdr:colOff>38100</xdr:colOff>
      <xdr:row>0</xdr:row>
      <xdr:rowOff>28575</xdr:rowOff>
    </xdr:from>
    <xdr:to>
      <xdr:col>6</xdr:col>
      <xdr:colOff>47625</xdr:colOff>
      <xdr:row>6</xdr:row>
      <xdr:rowOff>57150</xdr:rowOff>
    </xdr:to>
    <xdr:grpSp>
      <xdr:nvGrpSpPr>
        <xdr:cNvPr id="35926" name="Group 8"/>
        <xdr:cNvGrpSpPr>
          <a:grpSpLocks/>
        </xdr:cNvGrpSpPr>
      </xdr:nvGrpSpPr>
      <xdr:grpSpPr bwMode="auto">
        <a:xfrm>
          <a:off x="3286125" y="28575"/>
          <a:ext cx="1228725" cy="1162050"/>
          <a:chOff x="357" y="4"/>
          <a:chExt cx="129" cy="122"/>
        </a:xfrm>
      </xdr:grpSpPr>
      <xdr:sp macro="" textlink="">
        <xdr:nvSpPr>
          <xdr:cNvPr id="35936" name="Rectangle 9"/>
          <xdr:cNvSpPr>
            <a:spLocks noChangeArrowheads="1"/>
          </xdr:cNvSpPr>
        </xdr:nvSpPr>
        <xdr:spPr bwMode="auto">
          <a:xfrm>
            <a:off x="357" y="4"/>
            <a:ext cx="129" cy="122"/>
          </a:xfrm>
          <a:prstGeom prst="rect">
            <a:avLst/>
          </a:prstGeom>
          <a:solidFill>
            <a:srgbClr val="FFFFFF"/>
          </a:solidFill>
          <a:ln w="9525">
            <a:noFill/>
            <a:miter lim="800000"/>
            <a:headEnd/>
            <a:tailEnd/>
          </a:ln>
        </xdr:spPr>
      </xdr:sp>
      <xdr:sp macro="" textlink="">
        <xdr:nvSpPr>
          <xdr:cNvPr id="35937" name="Rectangle 10"/>
          <xdr:cNvSpPr>
            <a:spLocks noChangeArrowheads="1"/>
          </xdr:cNvSpPr>
        </xdr:nvSpPr>
        <xdr:spPr bwMode="auto">
          <a:xfrm>
            <a:off x="358" y="28"/>
            <a:ext cx="126" cy="43"/>
          </a:xfrm>
          <a:prstGeom prst="rect">
            <a:avLst/>
          </a:prstGeom>
          <a:solidFill>
            <a:srgbClr val="FFFF99"/>
          </a:solidFill>
          <a:ln w="9525">
            <a:solidFill>
              <a:srgbClr val="000000"/>
            </a:solidFill>
            <a:miter lim="800000"/>
            <a:headEnd/>
            <a:tailEnd/>
          </a:ln>
        </xdr:spPr>
      </xdr:sp>
    </xdr:grpSp>
    <xdr:clientData/>
  </xdr:twoCellAnchor>
  <xdr:twoCellAnchor editAs="oneCell">
    <xdr:from>
      <xdr:col>5</xdr:col>
      <xdr:colOff>495300</xdr:colOff>
      <xdr:row>2</xdr:row>
      <xdr:rowOff>85725</xdr:rowOff>
    </xdr:from>
    <xdr:to>
      <xdr:col>9</xdr:col>
      <xdr:colOff>19050</xdr:colOff>
      <xdr:row>16</xdr:row>
      <xdr:rowOff>38100</xdr:rowOff>
    </xdr:to>
    <xdr:pic>
      <xdr:nvPicPr>
        <xdr:cNvPr id="35927"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4352925" y="447675"/>
          <a:ext cx="1962150" cy="2400300"/>
        </a:xfrm>
        <a:prstGeom prst="rect">
          <a:avLst/>
        </a:prstGeom>
        <a:noFill/>
        <a:ln w="9525">
          <a:noFill/>
          <a:miter lim="800000"/>
          <a:headEnd/>
          <a:tailEnd/>
        </a:ln>
      </xdr:spPr>
    </xdr:pic>
    <xdr:clientData/>
  </xdr:twoCellAnchor>
  <xdr:twoCellAnchor editAs="absolute">
    <xdr:from>
      <xdr:col>0</xdr:col>
      <xdr:colOff>66675</xdr:colOff>
      <xdr:row>0</xdr:row>
      <xdr:rowOff>38100</xdr:rowOff>
    </xdr:from>
    <xdr:to>
      <xdr:col>0</xdr:col>
      <xdr:colOff>962025</xdr:colOff>
      <xdr:row>1</xdr:row>
      <xdr:rowOff>104775</xdr:rowOff>
    </xdr:to>
    <xdr:pic>
      <xdr:nvPicPr>
        <xdr:cNvPr id="35928" name="Picture 21">
          <a:hlinkClick xmlns:r="http://schemas.openxmlformats.org/officeDocument/2006/relationships" r:id="rId2" tooltip="Return to Main Menu"/>
        </xdr:cNvPr>
        <xdr:cNvPicPr>
          <a:picLocks noChangeAspect="1" noChangeArrowheads="1"/>
        </xdr:cNvPicPr>
      </xdr:nvPicPr>
      <xdr:blipFill>
        <a:blip xmlns:r="http://schemas.openxmlformats.org/officeDocument/2006/relationships" r:embed="rId3" cstate="print"/>
        <a:srcRect/>
        <a:stretch>
          <a:fillRect/>
        </a:stretch>
      </xdr:blipFill>
      <xdr:spPr bwMode="auto">
        <a:xfrm>
          <a:off x="66675" y="38100"/>
          <a:ext cx="895350" cy="228600"/>
        </a:xfrm>
        <a:prstGeom prst="rect">
          <a:avLst/>
        </a:prstGeom>
        <a:noFill/>
        <a:ln w="9525">
          <a:noFill/>
          <a:miter lim="800000"/>
          <a:headEnd/>
          <a:tailEnd/>
        </a:ln>
      </xdr:spPr>
    </xdr:pic>
    <xdr:clientData fPrintsWithSheet="0"/>
  </xdr:twoCellAnchor>
  <xdr:twoCellAnchor editAs="absolute">
    <xdr:from>
      <xdr:col>0</xdr:col>
      <xdr:colOff>66675</xdr:colOff>
      <xdr:row>1</xdr:row>
      <xdr:rowOff>114300</xdr:rowOff>
    </xdr:from>
    <xdr:to>
      <xdr:col>0</xdr:col>
      <xdr:colOff>962025</xdr:colOff>
      <xdr:row>2</xdr:row>
      <xdr:rowOff>142875</xdr:rowOff>
    </xdr:to>
    <xdr:pic>
      <xdr:nvPicPr>
        <xdr:cNvPr id="35929" name="Picture 22">
          <a:hlinkClick xmlns:r="http://schemas.openxmlformats.org/officeDocument/2006/relationships" r:id="rId4" tooltip="Go To Master Index"/>
        </xdr:cNvPr>
        <xdr:cNvPicPr>
          <a:picLocks noChangeAspect="1" noChangeArrowheads="1"/>
        </xdr:cNvPicPr>
      </xdr:nvPicPr>
      <xdr:blipFill>
        <a:blip xmlns:r="http://schemas.openxmlformats.org/officeDocument/2006/relationships" r:embed="rId5" cstate="print"/>
        <a:srcRect/>
        <a:stretch>
          <a:fillRect/>
        </a:stretch>
      </xdr:blipFill>
      <xdr:spPr bwMode="auto">
        <a:xfrm>
          <a:off x="66675" y="276225"/>
          <a:ext cx="895350" cy="228600"/>
        </a:xfrm>
        <a:prstGeom prst="rect">
          <a:avLst/>
        </a:prstGeom>
        <a:noFill/>
        <a:ln w="9525">
          <a:noFill/>
          <a:miter lim="800000"/>
          <a:headEnd/>
          <a:tailEnd/>
        </a:ln>
      </xdr:spPr>
    </xdr:pic>
    <xdr:clientData fPrintsWithSheet="0"/>
  </xdr:twoCellAnchor>
  <xdr:twoCellAnchor editAs="absolute">
    <xdr:from>
      <xdr:col>0</xdr:col>
      <xdr:colOff>66675</xdr:colOff>
      <xdr:row>2</xdr:row>
      <xdr:rowOff>171450</xdr:rowOff>
    </xdr:from>
    <xdr:to>
      <xdr:col>0</xdr:col>
      <xdr:colOff>962025</xdr:colOff>
      <xdr:row>4</xdr:row>
      <xdr:rowOff>0</xdr:rowOff>
    </xdr:to>
    <xdr:pic>
      <xdr:nvPicPr>
        <xdr:cNvPr id="35930" name="Picture 23">
          <a:hlinkClick xmlns:r="http://schemas.openxmlformats.org/officeDocument/2006/relationships" r:id="rId6" tooltip="Go To Weights Menu"/>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5" y="533400"/>
          <a:ext cx="895350" cy="228600"/>
        </a:xfrm>
        <a:prstGeom prst="rect">
          <a:avLst/>
        </a:prstGeom>
        <a:noFill/>
        <a:ln w="9525">
          <a:noFill/>
          <a:miter lim="800000"/>
          <a:headEnd/>
          <a:tailEnd/>
        </a:ln>
      </xdr:spPr>
    </xdr:pic>
    <xdr:clientData fPrintsWithSheet="0"/>
  </xdr:twoCellAnchor>
  <xdr:twoCellAnchor editAs="absolute">
    <xdr:from>
      <xdr:col>0</xdr:col>
      <xdr:colOff>66675</xdr:colOff>
      <xdr:row>4</xdr:row>
      <xdr:rowOff>0</xdr:rowOff>
    </xdr:from>
    <xdr:to>
      <xdr:col>0</xdr:col>
      <xdr:colOff>962025</xdr:colOff>
      <xdr:row>5</xdr:row>
      <xdr:rowOff>28575</xdr:rowOff>
    </xdr:to>
    <xdr:pic>
      <xdr:nvPicPr>
        <xdr:cNvPr id="35931" name="Picture 24">
          <a:hlinkClick xmlns:r="http://schemas.openxmlformats.org/officeDocument/2006/relationships" r:id="rId8" tooltip="Go To Tension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762000"/>
          <a:ext cx="895350" cy="228600"/>
        </a:xfrm>
        <a:prstGeom prst="rect">
          <a:avLst/>
        </a:prstGeom>
        <a:noFill/>
        <a:ln w="9525">
          <a:noFill/>
          <a:miter lim="800000"/>
          <a:headEnd/>
          <a:tailEnd/>
        </a:ln>
      </xdr:spPr>
    </xdr:pic>
    <xdr:clientData fPrintsWithSheet="0"/>
  </xdr:twoCellAnchor>
  <xdr:twoCellAnchor editAs="absolute">
    <xdr:from>
      <xdr:col>0</xdr:col>
      <xdr:colOff>66675</xdr:colOff>
      <xdr:row>5</xdr:row>
      <xdr:rowOff>28575</xdr:rowOff>
    </xdr:from>
    <xdr:to>
      <xdr:col>0</xdr:col>
      <xdr:colOff>962025</xdr:colOff>
      <xdr:row>6</xdr:row>
      <xdr:rowOff>85725</xdr:rowOff>
    </xdr:to>
    <xdr:pic>
      <xdr:nvPicPr>
        <xdr:cNvPr id="35932" name="Picture 25">
          <a:hlinkClick xmlns:r="http://schemas.openxmlformats.org/officeDocument/2006/relationships" r:id="rId10" tooltip="Go To Equipment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990600"/>
          <a:ext cx="895350" cy="228600"/>
        </a:xfrm>
        <a:prstGeom prst="rect">
          <a:avLst/>
        </a:prstGeom>
        <a:noFill/>
        <a:ln w="9525">
          <a:noFill/>
          <a:miter lim="800000"/>
          <a:headEnd/>
          <a:tailEnd/>
        </a:ln>
      </xdr:spPr>
    </xdr:pic>
    <xdr:clientData fPrintsWithSheet="0"/>
  </xdr:twoCellAnchor>
  <xdr:twoCellAnchor editAs="absolute">
    <xdr:from>
      <xdr:col>0</xdr:col>
      <xdr:colOff>114300</xdr:colOff>
      <xdr:row>6</xdr:row>
      <xdr:rowOff>114300</xdr:rowOff>
    </xdr:from>
    <xdr:to>
      <xdr:col>0</xdr:col>
      <xdr:colOff>342900</xdr:colOff>
      <xdr:row>7</xdr:row>
      <xdr:rowOff>171450</xdr:rowOff>
    </xdr:to>
    <xdr:pic>
      <xdr:nvPicPr>
        <xdr:cNvPr id="35933" name="Picture 26" descr="Code Information">
          <a:hlinkClick xmlns:r="http://schemas.openxmlformats.org/officeDocument/2006/relationships" r:id="rId12" tooltip="Code Information"/>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14300" y="1247775"/>
          <a:ext cx="228600" cy="228600"/>
        </a:xfrm>
        <a:prstGeom prst="rect">
          <a:avLst/>
        </a:prstGeom>
        <a:noFill/>
        <a:ln w="9525">
          <a:noFill/>
          <a:miter lim="800000"/>
          <a:headEnd/>
          <a:tailEnd/>
        </a:ln>
      </xdr:spPr>
    </xdr:pic>
    <xdr:clientData fPrintsWithSheet="0"/>
  </xdr:twoCellAnchor>
  <xdr:twoCellAnchor editAs="absolute">
    <xdr:from>
      <xdr:col>0</xdr:col>
      <xdr:colOff>371475</xdr:colOff>
      <xdr:row>6</xdr:row>
      <xdr:rowOff>114300</xdr:rowOff>
    </xdr:from>
    <xdr:to>
      <xdr:col>0</xdr:col>
      <xdr:colOff>600075</xdr:colOff>
      <xdr:row>7</xdr:row>
      <xdr:rowOff>171450</xdr:rowOff>
    </xdr:to>
    <xdr:pic>
      <xdr:nvPicPr>
        <xdr:cNvPr id="35934" name="Picture 27" descr="help">
          <a:hlinkClick xmlns:r="http://schemas.openxmlformats.org/officeDocument/2006/relationships" r:id="rId14" tooltip="Help"/>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71475" y="1247775"/>
          <a:ext cx="228600" cy="228600"/>
        </a:xfrm>
        <a:prstGeom prst="rect">
          <a:avLst/>
        </a:prstGeom>
        <a:noFill/>
        <a:ln w="9525">
          <a:noFill/>
          <a:miter lim="800000"/>
          <a:headEnd/>
          <a:tailEnd/>
        </a:ln>
      </xdr:spPr>
    </xdr:pic>
    <xdr:clientData fPrintsWithSheet="0"/>
  </xdr:twoCellAnchor>
  <xdr:twoCellAnchor editAs="absolute">
    <xdr:from>
      <xdr:col>0</xdr:col>
      <xdr:colOff>638175</xdr:colOff>
      <xdr:row>6</xdr:row>
      <xdr:rowOff>114300</xdr:rowOff>
    </xdr:from>
    <xdr:to>
      <xdr:col>0</xdr:col>
      <xdr:colOff>866775</xdr:colOff>
      <xdr:row>7</xdr:row>
      <xdr:rowOff>171450</xdr:rowOff>
    </xdr:to>
    <xdr:pic>
      <xdr:nvPicPr>
        <xdr:cNvPr id="35935" name="Picture 28" descr="star">
          <a:hlinkClick xmlns:r="http://schemas.openxmlformats.org/officeDocument/2006/relationships" r:id="rId16" tooltip="Conversions"/>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38175" y="1247775"/>
          <a:ext cx="228600" cy="22860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editAs="oneCell">
        <xdr:from>
          <xdr:col>2</xdr:col>
          <xdr:colOff>57150</xdr:colOff>
          <xdr:row>18</xdr:row>
          <xdr:rowOff>123825</xdr:rowOff>
        </xdr:from>
        <xdr:to>
          <xdr:col>5</xdr:col>
          <xdr:colOff>285750</xdr:colOff>
          <xdr:row>20</xdr:row>
          <xdr:rowOff>19050</xdr:rowOff>
        </xdr:to>
        <xdr:sp macro="" textlink="">
          <xdr:nvSpPr>
            <xdr:cNvPr id="35841" name="Drop Down 1" hidden="1">
              <a:extLst>
                <a:ext uri="{63B3BB69-23CF-44E3-9099-C40C66FF867C}">
                  <a14:compatExt spid="_x0000_s358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1</xdr:row>
          <xdr:rowOff>171450</xdr:rowOff>
        </xdr:from>
        <xdr:to>
          <xdr:col>5</xdr:col>
          <xdr:colOff>581025</xdr:colOff>
          <xdr:row>3</xdr:row>
          <xdr:rowOff>38100</xdr:rowOff>
        </xdr:to>
        <xdr:grpSp>
          <xdr:nvGrpSpPr>
            <xdr:cNvPr id="35851" name="Group 11"/>
            <xdr:cNvGrpSpPr>
              <a:grpSpLocks/>
            </xdr:cNvGrpSpPr>
          </xdr:nvGrpSpPr>
          <xdr:grpSpPr bwMode="auto">
            <a:xfrm>
              <a:off x="3362325" y="333375"/>
              <a:ext cx="1076325" cy="266700"/>
              <a:chOff x="7" y="41"/>
              <a:chExt cx="113" cy="28"/>
            </a:xfrm>
          </xdr:grpSpPr>
          <xdr:sp macro="" textlink="">
            <xdr:nvSpPr>
              <xdr:cNvPr id="35852" name="Option Button 12" hidden="1">
                <a:extLst>
                  <a:ext uri="{63B3BB69-23CF-44E3-9099-C40C66FF867C}">
                    <a14:compatExt spid="_x0000_s35852"/>
                  </a:ext>
                </a:extLst>
              </xdr:cNvPr>
              <xdr:cNvSpPr/>
            </xdr:nvSpPr>
            <xdr:spPr>
              <a:xfrm>
                <a:off x="11" y="46"/>
                <a:ext cx="46"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a:t>
                </a:r>
              </a:p>
            </xdr:txBody>
          </xdr:sp>
          <xdr:sp macro="" textlink="">
            <xdr:nvSpPr>
              <xdr:cNvPr id="35853" name="Option Button 13" hidden="1">
                <a:extLst>
                  <a:ext uri="{63B3BB69-23CF-44E3-9099-C40C66FF867C}">
                    <a14:compatExt spid="_x0000_s35853"/>
                  </a:ext>
                </a:extLst>
              </xdr:cNvPr>
              <xdr:cNvSpPr/>
            </xdr:nvSpPr>
            <xdr:spPr>
              <a:xfrm>
                <a:off x="55" y="46"/>
                <a:ext cx="57"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Metric</a:t>
                </a:r>
              </a:p>
            </xdr:txBody>
          </xdr:sp>
          <xdr:sp macro="" textlink="">
            <xdr:nvSpPr>
              <xdr:cNvPr id="35854" name="Group Box 14" hidden="1">
                <a:extLst>
                  <a:ext uri="{63B3BB69-23CF-44E3-9099-C40C66FF867C}">
                    <a14:compatExt spid="_x0000_s35854"/>
                  </a:ext>
                </a:extLst>
              </xdr:cNvPr>
              <xdr:cNvSpPr/>
            </xdr:nvSpPr>
            <xdr:spPr>
              <a:xfrm>
                <a:off x="7" y="41"/>
                <a:ext cx="113" cy="28"/>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Measurement Units</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247650</xdr:colOff>
          <xdr:row>15</xdr:row>
          <xdr:rowOff>114300</xdr:rowOff>
        </xdr:from>
        <xdr:to>
          <xdr:col>5</xdr:col>
          <xdr:colOff>514350</xdr:colOff>
          <xdr:row>16</xdr:row>
          <xdr:rowOff>161925</xdr:rowOff>
        </xdr:to>
        <xdr:sp macro="" textlink="">
          <xdr:nvSpPr>
            <xdr:cNvPr id="35845" name="Option Button 5" hidden="1">
              <a:extLst>
                <a:ext uri="{63B3BB69-23CF-44E3-9099-C40C66FF867C}">
                  <a14:compatExt spid="_x0000_s358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238125</xdr:colOff>
          <xdr:row>16</xdr:row>
          <xdr:rowOff>123825</xdr:rowOff>
        </xdr:from>
        <xdr:to>
          <xdr:col>5</xdr:col>
          <xdr:colOff>400050</xdr:colOff>
          <xdr:row>17</xdr:row>
          <xdr:rowOff>142875</xdr:rowOff>
        </xdr:to>
        <xdr:sp macro="" textlink="">
          <xdr:nvSpPr>
            <xdr:cNvPr id="35846" name="Option Button 6" hidden="1">
              <a:extLst>
                <a:ext uri="{63B3BB69-23CF-44E3-9099-C40C66FF867C}">
                  <a14:compatExt spid="_x0000_s358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Metric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15</xdr:row>
          <xdr:rowOff>47625</xdr:rowOff>
        </xdr:from>
        <xdr:to>
          <xdr:col>5</xdr:col>
          <xdr:colOff>523875</xdr:colOff>
          <xdr:row>17</xdr:row>
          <xdr:rowOff>152400</xdr:rowOff>
        </xdr:to>
        <xdr:sp macro="" textlink="">
          <xdr:nvSpPr>
            <xdr:cNvPr id="35847" name="Group Box 7" hidden="1">
              <a:extLst>
                <a:ext uri="{63B3BB69-23CF-44E3-9099-C40C66FF867C}">
                  <a14:compatExt spid="_x0000_s35847"/>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Weight Display</a:t>
              </a:r>
            </a:p>
          </xdr:txBody>
        </xdr:sp>
        <xdr:clientData fLocksWithSheet="0"/>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4</xdr:col>
      <xdr:colOff>104775</xdr:colOff>
      <xdr:row>14</xdr:row>
      <xdr:rowOff>95250</xdr:rowOff>
    </xdr:from>
    <xdr:to>
      <xdr:col>6</xdr:col>
      <xdr:colOff>0</xdr:colOff>
      <xdr:row>18</xdr:row>
      <xdr:rowOff>47625</xdr:rowOff>
    </xdr:to>
    <xdr:grpSp>
      <xdr:nvGrpSpPr>
        <xdr:cNvPr id="36949" name="Group 3"/>
        <xdr:cNvGrpSpPr>
          <a:grpSpLocks/>
        </xdr:cNvGrpSpPr>
      </xdr:nvGrpSpPr>
      <xdr:grpSpPr bwMode="auto">
        <a:xfrm>
          <a:off x="3314700" y="2562225"/>
          <a:ext cx="1114425" cy="685800"/>
          <a:chOff x="355" y="273"/>
          <a:chExt cx="117" cy="72"/>
        </a:xfrm>
      </xdr:grpSpPr>
      <xdr:sp macro="" textlink="">
        <xdr:nvSpPr>
          <xdr:cNvPr id="36962" name="Rectangle 4"/>
          <xdr:cNvSpPr>
            <a:spLocks noChangeArrowheads="1"/>
          </xdr:cNvSpPr>
        </xdr:nvSpPr>
        <xdr:spPr bwMode="auto">
          <a:xfrm>
            <a:off x="355" y="273"/>
            <a:ext cx="117" cy="72"/>
          </a:xfrm>
          <a:prstGeom prst="rect">
            <a:avLst/>
          </a:prstGeom>
          <a:solidFill>
            <a:srgbClr val="FFFF99"/>
          </a:solidFill>
          <a:ln w="9525">
            <a:solidFill>
              <a:srgbClr val="000000"/>
            </a:solidFill>
            <a:miter lim="800000"/>
            <a:headEnd/>
            <a:tailEnd/>
          </a:ln>
        </xdr:spPr>
      </xdr:sp>
    </xdr:grpSp>
    <xdr:clientData/>
  </xdr:twoCellAnchor>
  <xdr:twoCellAnchor>
    <xdr:from>
      <xdr:col>4</xdr:col>
      <xdr:colOff>28575</xdr:colOff>
      <xdr:row>0</xdr:row>
      <xdr:rowOff>9525</xdr:rowOff>
    </xdr:from>
    <xdr:to>
      <xdr:col>6</xdr:col>
      <xdr:colOff>38100</xdr:colOff>
      <xdr:row>6</xdr:row>
      <xdr:rowOff>38100</xdr:rowOff>
    </xdr:to>
    <xdr:grpSp>
      <xdr:nvGrpSpPr>
        <xdr:cNvPr id="36950" name="Group 8"/>
        <xdr:cNvGrpSpPr>
          <a:grpSpLocks/>
        </xdr:cNvGrpSpPr>
      </xdr:nvGrpSpPr>
      <xdr:grpSpPr bwMode="auto">
        <a:xfrm>
          <a:off x="3238500" y="9525"/>
          <a:ext cx="1228725" cy="1152525"/>
          <a:chOff x="357" y="4"/>
          <a:chExt cx="129" cy="122"/>
        </a:xfrm>
      </xdr:grpSpPr>
      <xdr:sp macro="" textlink="">
        <xdr:nvSpPr>
          <xdr:cNvPr id="36960" name="Rectangle 9"/>
          <xdr:cNvSpPr>
            <a:spLocks noChangeArrowheads="1"/>
          </xdr:cNvSpPr>
        </xdr:nvSpPr>
        <xdr:spPr bwMode="auto">
          <a:xfrm>
            <a:off x="357" y="4"/>
            <a:ext cx="129" cy="122"/>
          </a:xfrm>
          <a:prstGeom prst="rect">
            <a:avLst/>
          </a:prstGeom>
          <a:solidFill>
            <a:srgbClr val="FFFFFF"/>
          </a:solidFill>
          <a:ln w="9525">
            <a:noFill/>
            <a:miter lim="800000"/>
            <a:headEnd/>
            <a:tailEnd/>
          </a:ln>
        </xdr:spPr>
      </xdr:sp>
      <xdr:sp macro="" textlink="">
        <xdr:nvSpPr>
          <xdr:cNvPr id="36961" name="Rectangle 10"/>
          <xdr:cNvSpPr>
            <a:spLocks noChangeArrowheads="1"/>
          </xdr:cNvSpPr>
        </xdr:nvSpPr>
        <xdr:spPr bwMode="auto">
          <a:xfrm>
            <a:off x="358" y="28"/>
            <a:ext cx="126" cy="43"/>
          </a:xfrm>
          <a:prstGeom prst="rect">
            <a:avLst/>
          </a:prstGeom>
          <a:solidFill>
            <a:srgbClr val="FFFF99"/>
          </a:solidFill>
          <a:ln w="9525">
            <a:solidFill>
              <a:srgbClr val="000000"/>
            </a:solidFill>
            <a:miter lim="800000"/>
            <a:headEnd/>
            <a:tailEnd/>
          </a:ln>
        </xdr:spPr>
      </xdr:sp>
    </xdr:grpSp>
    <xdr:clientData/>
  </xdr:twoCellAnchor>
  <xdr:twoCellAnchor editAs="oneCell">
    <xdr:from>
      <xdr:col>6</xdr:col>
      <xdr:colOff>161925</xdr:colOff>
      <xdr:row>1</xdr:row>
      <xdr:rowOff>114300</xdr:rowOff>
    </xdr:from>
    <xdr:to>
      <xdr:col>9</xdr:col>
      <xdr:colOff>304800</xdr:colOff>
      <xdr:row>18</xdr:row>
      <xdr:rowOff>57150</xdr:rowOff>
    </xdr:to>
    <xdr:pic>
      <xdr:nvPicPr>
        <xdr:cNvPr id="36951"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4591050" y="276225"/>
          <a:ext cx="1971675" cy="2981325"/>
        </a:xfrm>
        <a:prstGeom prst="rect">
          <a:avLst/>
        </a:prstGeom>
        <a:noFill/>
        <a:ln w="9525">
          <a:noFill/>
          <a:miter lim="800000"/>
          <a:headEnd/>
          <a:tailEnd/>
        </a:ln>
      </xdr:spPr>
    </xdr:pic>
    <xdr:clientData/>
  </xdr:twoCellAnchor>
  <xdr:twoCellAnchor editAs="absolute">
    <xdr:from>
      <xdr:col>0</xdr:col>
      <xdr:colOff>66675</xdr:colOff>
      <xdr:row>0</xdr:row>
      <xdr:rowOff>66675</xdr:rowOff>
    </xdr:from>
    <xdr:to>
      <xdr:col>0</xdr:col>
      <xdr:colOff>962025</xdr:colOff>
      <xdr:row>1</xdr:row>
      <xdr:rowOff>133350</xdr:rowOff>
    </xdr:to>
    <xdr:pic>
      <xdr:nvPicPr>
        <xdr:cNvPr id="36952" name="Picture 21">
          <a:hlinkClick xmlns:r="http://schemas.openxmlformats.org/officeDocument/2006/relationships" r:id="rId2" tooltip="Return to Main Menu"/>
        </xdr:cNvPr>
        <xdr:cNvPicPr>
          <a:picLocks noChangeAspect="1" noChangeArrowheads="1"/>
        </xdr:cNvPicPr>
      </xdr:nvPicPr>
      <xdr:blipFill>
        <a:blip xmlns:r="http://schemas.openxmlformats.org/officeDocument/2006/relationships" r:embed="rId3" cstate="print"/>
        <a:srcRect/>
        <a:stretch>
          <a:fillRect/>
        </a:stretch>
      </xdr:blipFill>
      <xdr:spPr bwMode="auto">
        <a:xfrm>
          <a:off x="66675" y="66675"/>
          <a:ext cx="895350" cy="228600"/>
        </a:xfrm>
        <a:prstGeom prst="rect">
          <a:avLst/>
        </a:prstGeom>
        <a:noFill/>
        <a:ln w="9525">
          <a:noFill/>
          <a:miter lim="800000"/>
          <a:headEnd/>
          <a:tailEnd/>
        </a:ln>
      </xdr:spPr>
    </xdr:pic>
    <xdr:clientData fPrintsWithSheet="0"/>
  </xdr:twoCellAnchor>
  <xdr:twoCellAnchor editAs="absolute">
    <xdr:from>
      <xdr:col>0</xdr:col>
      <xdr:colOff>66675</xdr:colOff>
      <xdr:row>1</xdr:row>
      <xdr:rowOff>142875</xdr:rowOff>
    </xdr:from>
    <xdr:to>
      <xdr:col>0</xdr:col>
      <xdr:colOff>962025</xdr:colOff>
      <xdr:row>2</xdr:row>
      <xdr:rowOff>171450</xdr:rowOff>
    </xdr:to>
    <xdr:pic>
      <xdr:nvPicPr>
        <xdr:cNvPr id="36953" name="Picture 22">
          <a:hlinkClick xmlns:r="http://schemas.openxmlformats.org/officeDocument/2006/relationships" r:id="rId4" tooltip="Go To Master Index"/>
        </xdr:cNvPr>
        <xdr:cNvPicPr>
          <a:picLocks noChangeAspect="1" noChangeArrowheads="1"/>
        </xdr:cNvPicPr>
      </xdr:nvPicPr>
      <xdr:blipFill>
        <a:blip xmlns:r="http://schemas.openxmlformats.org/officeDocument/2006/relationships" r:embed="rId5" cstate="print"/>
        <a:srcRect/>
        <a:stretch>
          <a:fillRect/>
        </a:stretch>
      </xdr:blipFill>
      <xdr:spPr bwMode="auto">
        <a:xfrm>
          <a:off x="66675" y="304800"/>
          <a:ext cx="895350" cy="228600"/>
        </a:xfrm>
        <a:prstGeom prst="rect">
          <a:avLst/>
        </a:prstGeom>
        <a:noFill/>
        <a:ln w="9525">
          <a:noFill/>
          <a:miter lim="800000"/>
          <a:headEnd/>
          <a:tailEnd/>
        </a:ln>
      </xdr:spPr>
    </xdr:pic>
    <xdr:clientData fPrintsWithSheet="0"/>
  </xdr:twoCellAnchor>
  <xdr:twoCellAnchor editAs="absolute">
    <xdr:from>
      <xdr:col>0</xdr:col>
      <xdr:colOff>66675</xdr:colOff>
      <xdr:row>3</xdr:row>
      <xdr:rowOff>0</xdr:rowOff>
    </xdr:from>
    <xdr:to>
      <xdr:col>0</xdr:col>
      <xdr:colOff>962025</xdr:colOff>
      <xdr:row>4</xdr:row>
      <xdr:rowOff>28575</xdr:rowOff>
    </xdr:to>
    <xdr:pic>
      <xdr:nvPicPr>
        <xdr:cNvPr id="36954" name="Picture 23">
          <a:hlinkClick xmlns:r="http://schemas.openxmlformats.org/officeDocument/2006/relationships" r:id="rId6" tooltip="Go To Weights Menu"/>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5" y="561975"/>
          <a:ext cx="895350" cy="228600"/>
        </a:xfrm>
        <a:prstGeom prst="rect">
          <a:avLst/>
        </a:prstGeom>
        <a:noFill/>
        <a:ln w="9525">
          <a:noFill/>
          <a:miter lim="800000"/>
          <a:headEnd/>
          <a:tailEnd/>
        </a:ln>
      </xdr:spPr>
    </xdr:pic>
    <xdr:clientData fPrintsWithSheet="0"/>
  </xdr:twoCellAnchor>
  <xdr:twoCellAnchor editAs="absolute">
    <xdr:from>
      <xdr:col>0</xdr:col>
      <xdr:colOff>66675</xdr:colOff>
      <xdr:row>4</xdr:row>
      <xdr:rowOff>28575</xdr:rowOff>
    </xdr:from>
    <xdr:to>
      <xdr:col>0</xdr:col>
      <xdr:colOff>962025</xdr:colOff>
      <xdr:row>5</xdr:row>
      <xdr:rowOff>66675</xdr:rowOff>
    </xdr:to>
    <xdr:pic>
      <xdr:nvPicPr>
        <xdr:cNvPr id="36955" name="Picture 24">
          <a:hlinkClick xmlns:r="http://schemas.openxmlformats.org/officeDocument/2006/relationships" r:id="rId8" tooltip="Go To Tension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790575"/>
          <a:ext cx="895350" cy="228600"/>
        </a:xfrm>
        <a:prstGeom prst="rect">
          <a:avLst/>
        </a:prstGeom>
        <a:noFill/>
        <a:ln w="9525">
          <a:noFill/>
          <a:miter lim="800000"/>
          <a:headEnd/>
          <a:tailEnd/>
        </a:ln>
      </xdr:spPr>
    </xdr:pic>
    <xdr:clientData fPrintsWithSheet="0"/>
  </xdr:twoCellAnchor>
  <xdr:twoCellAnchor editAs="absolute">
    <xdr:from>
      <xdr:col>0</xdr:col>
      <xdr:colOff>66675</xdr:colOff>
      <xdr:row>5</xdr:row>
      <xdr:rowOff>66675</xdr:rowOff>
    </xdr:from>
    <xdr:to>
      <xdr:col>0</xdr:col>
      <xdr:colOff>962025</xdr:colOff>
      <xdr:row>6</xdr:row>
      <xdr:rowOff>123825</xdr:rowOff>
    </xdr:to>
    <xdr:pic>
      <xdr:nvPicPr>
        <xdr:cNvPr id="36956" name="Picture 25">
          <a:hlinkClick xmlns:r="http://schemas.openxmlformats.org/officeDocument/2006/relationships" r:id="rId10" tooltip="Go To Equipment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1019175"/>
          <a:ext cx="895350" cy="228600"/>
        </a:xfrm>
        <a:prstGeom prst="rect">
          <a:avLst/>
        </a:prstGeom>
        <a:noFill/>
        <a:ln w="9525">
          <a:noFill/>
          <a:miter lim="800000"/>
          <a:headEnd/>
          <a:tailEnd/>
        </a:ln>
      </xdr:spPr>
    </xdr:pic>
    <xdr:clientData fPrintsWithSheet="0"/>
  </xdr:twoCellAnchor>
  <xdr:twoCellAnchor editAs="absolute">
    <xdr:from>
      <xdr:col>0</xdr:col>
      <xdr:colOff>114300</xdr:colOff>
      <xdr:row>6</xdr:row>
      <xdr:rowOff>142875</xdr:rowOff>
    </xdr:from>
    <xdr:to>
      <xdr:col>0</xdr:col>
      <xdr:colOff>342900</xdr:colOff>
      <xdr:row>8</xdr:row>
      <xdr:rowOff>19050</xdr:rowOff>
    </xdr:to>
    <xdr:pic>
      <xdr:nvPicPr>
        <xdr:cNvPr id="36957" name="Picture 26" descr="Code Information">
          <a:hlinkClick xmlns:r="http://schemas.openxmlformats.org/officeDocument/2006/relationships" r:id="rId12" tooltip="Code Information"/>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14300" y="1266825"/>
          <a:ext cx="228600" cy="228600"/>
        </a:xfrm>
        <a:prstGeom prst="rect">
          <a:avLst/>
        </a:prstGeom>
        <a:noFill/>
        <a:ln w="9525">
          <a:noFill/>
          <a:miter lim="800000"/>
          <a:headEnd/>
          <a:tailEnd/>
        </a:ln>
      </xdr:spPr>
    </xdr:pic>
    <xdr:clientData fPrintsWithSheet="0"/>
  </xdr:twoCellAnchor>
  <xdr:twoCellAnchor editAs="absolute">
    <xdr:from>
      <xdr:col>0</xdr:col>
      <xdr:colOff>371475</xdr:colOff>
      <xdr:row>6</xdr:row>
      <xdr:rowOff>142875</xdr:rowOff>
    </xdr:from>
    <xdr:to>
      <xdr:col>0</xdr:col>
      <xdr:colOff>600075</xdr:colOff>
      <xdr:row>8</xdr:row>
      <xdr:rowOff>19050</xdr:rowOff>
    </xdr:to>
    <xdr:pic>
      <xdr:nvPicPr>
        <xdr:cNvPr id="36958" name="Picture 27" descr="help">
          <a:hlinkClick xmlns:r="http://schemas.openxmlformats.org/officeDocument/2006/relationships" r:id="rId14" tooltip="Help"/>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71475" y="1266825"/>
          <a:ext cx="228600" cy="228600"/>
        </a:xfrm>
        <a:prstGeom prst="rect">
          <a:avLst/>
        </a:prstGeom>
        <a:noFill/>
        <a:ln w="9525">
          <a:noFill/>
          <a:miter lim="800000"/>
          <a:headEnd/>
          <a:tailEnd/>
        </a:ln>
      </xdr:spPr>
    </xdr:pic>
    <xdr:clientData fPrintsWithSheet="0"/>
  </xdr:twoCellAnchor>
  <xdr:twoCellAnchor editAs="absolute">
    <xdr:from>
      <xdr:col>0</xdr:col>
      <xdr:colOff>638175</xdr:colOff>
      <xdr:row>6</xdr:row>
      <xdr:rowOff>142875</xdr:rowOff>
    </xdr:from>
    <xdr:to>
      <xdr:col>0</xdr:col>
      <xdr:colOff>866775</xdr:colOff>
      <xdr:row>8</xdr:row>
      <xdr:rowOff>19050</xdr:rowOff>
    </xdr:to>
    <xdr:pic>
      <xdr:nvPicPr>
        <xdr:cNvPr id="36959" name="Picture 28" descr="star">
          <a:hlinkClick xmlns:r="http://schemas.openxmlformats.org/officeDocument/2006/relationships" r:id="rId16" tooltip="Conversions"/>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38175" y="1266825"/>
          <a:ext cx="228600" cy="22860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editAs="oneCell">
        <xdr:from>
          <xdr:col>2</xdr:col>
          <xdr:colOff>57150</xdr:colOff>
          <xdr:row>18</xdr:row>
          <xdr:rowOff>123825</xdr:rowOff>
        </xdr:from>
        <xdr:to>
          <xdr:col>5</xdr:col>
          <xdr:colOff>285750</xdr:colOff>
          <xdr:row>20</xdr:row>
          <xdr:rowOff>19050</xdr:rowOff>
        </xdr:to>
        <xdr:sp macro="" textlink="">
          <xdr:nvSpPr>
            <xdr:cNvPr id="36865" name="Drop Down 1" hidden="1">
              <a:extLst>
                <a:ext uri="{63B3BB69-23CF-44E3-9099-C40C66FF867C}">
                  <a14:compatExt spid="_x0000_s368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1</xdr:row>
          <xdr:rowOff>152400</xdr:rowOff>
        </xdr:from>
        <xdr:to>
          <xdr:col>5</xdr:col>
          <xdr:colOff>571500</xdr:colOff>
          <xdr:row>3</xdr:row>
          <xdr:rowOff>19050</xdr:rowOff>
        </xdr:to>
        <xdr:grpSp>
          <xdr:nvGrpSpPr>
            <xdr:cNvPr id="36875" name="Group 11"/>
            <xdr:cNvGrpSpPr>
              <a:grpSpLocks/>
            </xdr:cNvGrpSpPr>
          </xdr:nvGrpSpPr>
          <xdr:grpSpPr bwMode="auto">
            <a:xfrm>
              <a:off x="3314700" y="314325"/>
              <a:ext cx="1076325" cy="266700"/>
              <a:chOff x="7" y="41"/>
              <a:chExt cx="113" cy="28"/>
            </a:xfrm>
          </xdr:grpSpPr>
          <xdr:sp macro="" textlink="">
            <xdr:nvSpPr>
              <xdr:cNvPr id="36876" name="Option Button 12" hidden="1">
                <a:extLst>
                  <a:ext uri="{63B3BB69-23CF-44E3-9099-C40C66FF867C}">
                    <a14:compatExt spid="_x0000_s36876"/>
                  </a:ext>
                </a:extLst>
              </xdr:cNvPr>
              <xdr:cNvSpPr/>
            </xdr:nvSpPr>
            <xdr:spPr>
              <a:xfrm>
                <a:off x="11" y="46"/>
                <a:ext cx="46"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a:t>
                </a:r>
              </a:p>
            </xdr:txBody>
          </xdr:sp>
          <xdr:sp macro="" textlink="">
            <xdr:nvSpPr>
              <xdr:cNvPr id="36877" name="Option Button 13" hidden="1">
                <a:extLst>
                  <a:ext uri="{63B3BB69-23CF-44E3-9099-C40C66FF867C}">
                    <a14:compatExt spid="_x0000_s36877"/>
                  </a:ext>
                </a:extLst>
              </xdr:cNvPr>
              <xdr:cNvSpPr/>
            </xdr:nvSpPr>
            <xdr:spPr>
              <a:xfrm>
                <a:off x="55" y="46"/>
                <a:ext cx="57"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Metric</a:t>
                </a:r>
              </a:p>
            </xdr:txBody>
          </xdr:sp>
          <xdr:sp macro="" textlink="">
            <xdr:nvSpPr>
              <xdr:cNvPr id="36878" name="Group Box 14" hidden="1">
                <a:extLst>
                  <a:ext uri="{63B3BB69-23CF-44E3-9099-C40C66FF867C}">
                    <a14:compatExt spid="_x0000_s36878"/>
                  </a:ext>
                </a:extLst>
              </xdr:cNvPr>
              <xdr:cNvSpPr/>
            </xdr:nvSpPr>
            <xdr:spPr>
              <a:xfrm>
                <a:off x="7" y="41"/>
                <a:ext cx="113" cy="28"/>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Measurement Units</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247650</xdr:colOff>
          <xdr:row>15</xdr:row>
          <xdr:rowOff>114300</xdr:rowOff>
        </xdr:from>
        <xdr:to>
          <xdr:col>5</xdr:col>
          <xdr:colOff>514350</xdr:colOff>
          <xdr:row>16</xdr:row>
          <xdr:rowOff>161925</xdr:rowOff>
        </xdr:to>
        <xdr:sp macro="" textlink="">
          <xdr:nvSpPr>
            <xdr:cNvPr id="36869" name="Option Button 5" hidden="1">
              <a:extLst>
                <a:ext uri="{63B3BB69-23CF-44E3-9099-C40C66FF867C}">
                  <a14:compatExt spid="_x0000_s368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238125</xdr:colOff>
          <xdr:row>16</xdr:row>
          <xdr:rowOff>123825</xdr:rowOff>
        </xdr:from>
        <xdr:to>
          <xdr:col>5</xdr:col>
          <xdr:colOff>400050</xdr:colOff>
          <xdr:row>17</xdr:row>
          <xdr:rowOff>142875</xdr:rowOff>
        </xdr:to>
        <xdr:sp macro="" textlink="">
          <xdr:nvSpPr>
            <xdr:cNvPr id="36870" name="Option Button 6" hidden="1">
              <a:extLst>
                <a:ext uri="{63B3BB69-23CF-44E3-9099-C40C66FF867C}">
                  <a14:compatExt spid="_x0000_s368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Metric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15</xdr:row>
          <xdr:rowOff>47625</xdr:rowOff>
        </xdr:from>
        <xdr:to>
          <xdr:col>5</xdr:col>
          <xdr:colOff>523875</xdr:colOff>
          <xdr:row>17</xdr:row>
          <xdr:rowOff>152400</xdr:rowOff>
        </xdr:to>
        <xdr:sp macro="" textlink="">
          <xdr:nvSpPr>
            <xdr:cNvPr id="36871" name="Group Box 7" hidden="1">
              <a:extLst>
                <a:ext uri="{63B3BB69-23CF-44E3-9099-C40C66FF867C}">
                  <a14:compatExt spid="_x0000_s36871"/>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Weight Display</a:t>
              </a:r>
            </a:p>
          </xdr:txBody>
        </xdr:sp>
        <xdr:clientData fLocksWithSheet="0"/>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4</xdr:col>
      <xdr:colOff>104775</xdr:colOff>
      <xdr:row>14</xdr:row>
      <xdr:rowOff>95250</xdr:rowOff>
    </xdr:from>
    <xdr:to>
      <xdr:col>6</xdr:col>
      <xdr:colOff>0</xdr:colOff>
      <xdr:row>18</xdr:row>
      <xdr:rowOff>47625</xdr:rowOff>
    </xdr:to>
    <xdr:grpSp>
      <xdr:nvGrpSpPr>
        <xdr:cNvPr id="38998" name="Group 3"/>
        <xdr:cNvGrpSpPr>
          <a:grpSpLocks/>
        </xdr:cNvGrpSpPr>
      </xdr:nvGrpSpPr>
      <xdr:grpSpPr bwMode="auto">
        <a:xfrm>
          <a:off x="3771900" y="2552700"/>
          <a:ext cx="1114425" cy="685800"/>
          <a:chOff x="355" y="273"/>
          <a:chExt cx="117" cy="72"/>
        </a:xfrm>
      </xdr:grpSpPr>
      <xdr:sp macro="" textlink="">
        <xdr:nvSpPr>
          <xdr:cNvPr id="39011" name="Rectangle 4"/>
          <xdr:cNvSpPr>
            <a:spLocks noChangeArrowheads="1"/>
          </xdr:cNvSpPr>
        </xdr:nvSpPr>
        <xdr:spPr bwMode="auto">
          <a:xfrm>
            <a:off x="355" y="273"/>
            <a:ext cx="117" cy="72"/>
          </a:xfrm>
          <a:prstGeom prst="rect">
            <a:avLst/>
          </a:prstGeom>
          <a:solidFill>
            <a:srgbClr val="FFFF99"/>
          </a:solidFill>
          <a:ln w="9525">
            <a:solidFill>
              <a:srgbClr val="000000"/>
            </a:solidFill>
            <a:miter lim="800000"/>
            <a:headEnd/>
            <a:tailEnd/>
          </a:ln>
        </xdr:spPr>
      </xdr:sp>
    </xdr:grpSp>
    <xdr:clientData/>
  </xdr:twoCellAnchor>
  <xdr:twoCellAnchor>
    <xdr:from>
      <xdr:col>4</xdr:col>
      <xdr:colOff>19050</xdr:colOff>
      <xdr:row>0</xdr:row>
      <xdr:rowOff>38100</xdr:rowOff>
    </xdr:from>
    <xdr:to>
      <xdr:col>6</xdr:col>
      <xdr:colOff>28575</xdr:colOff>
      <xdr:row>6</xdr:row>
      <xdr:rowOff>66675</xdr:rowOff>
    </xdr:to>
    <xdr:grpSp>
      <xdr:nvGrpSpPr>
        <xdr:cNvPr id="38999" name="Group 8"/>
        <xdr:cNvGrpSpPr>
          <a:grpSpLocks/>
        </xdr:cNvGrpSpPr>
      </xdr:nvGrpSpPr>
      <xdr:grpSpPr bwMode="auto">
        <a:xfrm>
          <a:off x="3686175" y="38100"/>
          <a:ext cx="1228725" cy="1143000"/>
          <a:chOff x="357" y="4"/>
          <a:chExt cx="129" cy="122"/>
        </a:xfrm>
      </xdr:grpSpPr>
      <xdr:sp macro="" textlink="">
        <xdr:nvSpPr>
          <xdr:cNvPr id="39009" name="Rectangle 9"/>
          <xdr:cNvSpPr>
            <a:spLocks noChangeArrowheads="1"/>
          </xdr:cNvSpPr>
        </xdr:nvSpPr>
        <xdr:spPr bwMode="auto">
          <a:xfrm>
            <a:off x="357" y="4"/>
            <a:ext cx="129" cy="122"/>
          </a:xfrm>
          <a:prstGeom prst="rect">
            <a:avLst/>
          </a:prstGeom>
          <a:solidFill>
            <a:srgbClr val="FFFFFF"/>
          </a:solidFill>
          <a:ln w="9525">
            <a:noFill/>
            <a:miter lim="800000"/>
            <a:headEnd/>
            <a:tailEnd/>
          </a:ln>
        </xdr:spPr>
      </xdr:sp>
      <xdr:sp macro="" textlink="">
        <xdr:nvSpPr>
          <xdr:cNvPr id="39010" name="Rectangle 10"/>
          <xdr:cNvSpPr>
            <a:spLocks noChangeArrowheads="1"/>
          </xdr:cNvSpPr>
        </xdr:nvSpPr>
        <xdr:spPr bwMode="auto">
          <a:xfrm>
            <a:off x="358" y="28"/>
            <a:ext cx="126" cy="43"/>
          </a:xfrm>
          <a:prstGeom prst="rect">
            <a:avLst/>
          </a:prstGeom>
          <a:solidFill>
            <a:srgbClr val="FFFF99"/>
          </a:solidFill>
          <a:ln w="9525">
            <a:solidFill>
              <a:srgbClr val="000000"/>
            </a:solidFill>
            <a:miter lim="800000"/>
            <a:headEnd/>
            <a:tailEnd/>
          </a:ln>
        </xdr:spPr>
      </xdr:sp>
    </xdr:grpSp>
    <xdr:clientData/>
  </xdr:twoCellAnchor>
  <xdr:twoCellAnchor editAs="oneCell">
    <xdr:from>
      <xdr:col>6</xdr:col>
      <xdr:colOff>76200</xdr:colOff>
      <xdr:row>4</xdr:row>
      <xdr:rowOff>19050</xdr:rowOff>
    </xdr:from>
    <xdr:to>
      <xdr:col>8</xdr:col>
      <xdr:colOff>495300</xdr:colOff>
      <xdr:row>15</xdr:row>
      <xdr:rowOff>161925</xdr:rowOff>
    </xdr:to>
    <xdr:pic>
      <xdr:nvPicPr>
        <xdr:cNvPr id="39000" name="Picture 16"/>
        <xdr:cNvPicPr>
          <a:picLocks noChangeAspect="1" noChangeArrowheads="1"/>
        </xdr:cNvPicPr>
      </xdr:nvPicPr>
      <xdr:blipFill>
        <a:blip xmlns:r="http://schemas.openxmlformats.org/officeDocument/2006/relationships" r:embed="rId1" cstate="print"/>
        <a:srcRect/>
        <a:stretch>
          <a:fillRect/>
        </a:stretch>
      </xdr:blipFill>
      <xdr:spPr bwMode="auto">
        <a:xfrm>
          <a:off x="4962525" y="771525"/>
          <a:ext cx="1638300" cy="2009775"/>
        </a:xfrm>
        <a:prstGeom prst="rect">
          <a:avLst/>
        </a:prstGeom>
        <a:noFill/>
        <a:ln w="9525">
          <a:noFill/>
          <a:miter lim="800000"/>
          <a:headEnd/>
          <a:tailEnd/>
        </a:ln>
      </xdr:spPr>
    </xdr:pic>
    <xdr:clientData/>
  </xdr:twoCellAnchor>
  <xdr:twoCellAnchor editAs="absolute">
    <xdr:from>
      <xdr:col>0</xdr:col>
      <xdr:colOff>57150</xdr:colOff>
      <xdr:row>0</xdr:row>
      <xdr:rowOff>66675</xdr:rowOff>
    </xdr:from>
    <xdr:to>
      <xdr:col>0</xdr:col>
      <xdr:colOff>952500</xdr:colOff>
      <xdr:row>1</xdr:row>
      <xdr:rowOff>133350</xdr:rowOff>
    </xdr:to>
    <xdr:pic>
      <xdr:nvPicPr>
        <xdr:cNvPr id="39001" name="Picture 22">
          <a:hlinkClick xmlns:r="http://schemas.openxmlformats.org/officeDocument/2006/relationships" r:id="rId2" tooltip="Return to Main Menu"/>
        </xdr:cNvPr>
        <xdr:cNvPicPr>
          <a:picLocks noChangeAspect="1" noChangeArrowheads="1"/>
        </xdr:cNvPicPr>
      </xdr:nvPicPr>
      <xdr:blipFill>
        <a:blip xmlns:r="http://schemas.openxmlformats.org/officeDocument/2006/relationships" r:embed="rId3" cstate="print"/>
        <a:srcRect/>
        <a:stretch>
          <a:fillRect/>
        </a:stretch>
      </xdr:blipFill>
      <xdr:spPr bwMode="auto">
        <a:xfrm>
          <a:off x="57150" y="66675"/>
          <a:ext cx="895350" cy="228600"/>
        </a:xfrm>
        <a:prstGeom prst="rect">
          <a:avLst/>
        </a:prstGeom>
        <a:noFill/>
        <a:ln w="9525">
          <a:noFill/>
          <a:miter lim="800000"/>
          <a:headEnd/>
          <a:tailEnd/>
        </a:ln>
      </xdr:spPr>
    </xdr:pic>
    <xdr:clientData fPrintsWithSheet="0"/>
  </xdr:twoCellAnchor>
  <xdr:twoCellAnchor editAs="absolute">
    <xdr:from>
      <xdr:col>0</xdr:col>
      <xdr:colOff>57150</xdr:colOff>
      <xdr:row>1</xdr:row>
      <xdr:rowOff>142875</xdr:rowOff>
    </xdr:from>
    <xdr:to>
      <xdr:col>0</xdr:col>
      <xdr:colOff>952500</xdr:colOff>
      <xdr:row>2</xdr:row>
      <xdr:rowOff>171450</xdr:rowOff>
    </xdr:to>
    <xdr:pic>
      <xdr:nvPicPr>
        <xdr:cNvPr id="39002" name="Picture 23">
          <a:hlinkClick xmlns:r="http://schemas.openxmlformats.org/officeDocument/2006/relationships" r:id="rId4" tooltip="Go To Master Index"/>
        </xdr:cNvPr>
        <xdr:cNvPicPr>
          <a:picLocks noChangeAspect="1" noChangeArrowheads="1"/>
        </xdr:cNvPicPr>
      </xdr:nvPicPr>
      <xdr:blipFill>
        <a:blip xmlns:r="http://schemas.openxmlformats.org/officeDocument/2006/relationships" r:embed="rId5" cstate="print"/>
        <a:srcRect/>
        <a:stretch>
          <a:fillRect/>
        </a:stretch>
      </xdr:blipFill>
      <xdr:spPr bwMode="auto">
        <a:xfrm>
          <a:off x="57150" y="304800"/>
          <a:ext cx="895350" cy="228600"/>
        </a:xfrm>
        <a:prstGeom prst="rect">
          <a:avLst/>
        </a:prstGeom>
        <a:noFill/>
        <a:ln w="9525">
          <a:noFill/>
          <a:miter lim="800000"/>
          <a:headEnd/>
          <a:tailEnd/>
        </a:ln>
      </xdr:spPr>
    </xdr:pic>
    <xdr:clientData fPrintsWithSheet="0"/>
  </xdr:twoCellAnchor>
  <xdr:twoCellAnchor editAs="absolute">
    <xdr:from>
      <xdr:col>0</xdr:col>
      <xdr:colOff>57150</xdr:colOff>
      <xdr:row>3</xdr:row>
      <xdr:rowOff>0</xdr:rowOff>
    </xdr:from>
    <xdr:to>
      <xdr:col>0</xdr:col>
      <xdr:colOff>952500</xdr:colOff>
      <xdr:row>4</xdr:row>
      <xdr:rowOff>38100</xdr:rowOff>
    </xdr:to>
    <xdr:pic>
      <xdr:nvPicPr>
        <xdr:cNvPr id="39003" name="Picture 24">
          <a:hlinkClick xmlns:r="http://schemas.openxmlformats.org/officeDocument/2006/relationships" r:id="rId6" tooltip="Go To Weights Menu"/>
        </xdr:cNvPr>
        <xdr:cNvPicPr>
          <a:picLocks noChangeAspect="1" noChangeArrowheads="1"/>
        </xdr:cNvPicPr>
      </xdr:nvPicPr>
      <xdr:blipFill>
        <a:blip xmlns:r="http://schemas.openxmlformats.org/officeDocument/2006/relationships" r:embed="rId7" cstate="print"/>
        <a:srcRect/>
        <a:stretch>
          <a:fillRect/>
        </a:stretch>
      </xdr:blipFill>
      <xdr:spPr bwMode="auto">
        <a:xfrm>
          <a:off x="57150" y="561975"/>
          <a:ext cx="895350" cy="228600"/>
        </a:xfrm>
        <a:prstGeom prst="rect">
          <a:avLst/>
        </a:prstGeom>
        <a:noFill/>
        <a:ln w="9525">
          <a:noFill/>
          <a:miter lim="800000"/>
          <a:headEnd/>
          <a:tailEnd/>
        </a:ln>
      </xdr:spPr>
    </xdr:pic>
    <xdr:clientData fPrintsWithSheet="0"/>
  </xdr:twoCellAnchor>
  <xdr:twoCellAnchor editAs="absolute">
    <xdr:from>
      <xdr:col>0</xdr:col>
      <xdr:colOff>57150</xdr:colOff>
      <xdr:row>4</xdr:row>
      <xdr:rowOff>38100</xdr:rowOff>
    </xdr:from>
    <xdr:to>
      <xdr:col>0</xdr:col>
      <xdr:colOff>952500</xdr:colOff>
      <xdr:row>5</xdr:row>
      <xdr:rowOff>76200</xdr:rowOff>
    </xdr:to>
    <xdr:pic>
      <xdr:nvPicPr>
        <xdr:cNvPr id="39004" name="Picture 25">
          <a:hlinkClick xmlns:r="http://schemas.openxmlformats.org/officeDocument/2006/relationships" r:id="rId8" tooltip="Go To Tension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57150" y="790575"/>
          <a:ext cx="895350" cy="228600"/>
        </a:xfrm>
        <a:prstGeom prst="rect">
          <a:avLst/>
        </a:prstGeom>
        <a:noFill/>
        <a:ln w="9525">
          <a:noFill/>
          <a:miter lim="800000"/>
          <a:headEnd/>
          <a:tailEnd/>
        </a:ln>
      </xdr:spPr>
    </xdr:pic>
    <xdr:clientData fPrintsWithSheet="0"/>
  </xdr:twoCellAnchor>
  <xdr:twoCellAnchor editAs="absolute">
    <xdr:from>
      <xdr:col>0</xdr:col>
      <xdr:colOff>57150</xdr:colOff>
      <xdr:row>5</xdr:row>
      <xdr:rowOff>76200</xdr:rowOff>
    </xdr:from>
    <xdr:to>
      <xdr:col>0</xdr:col>
      <xdr:colOff>952500</xdr:colOff>
      <xdr:row>6</xdr:row>
      <xdr:rowOff>133350</xdr:rowOff>
    </xdr:to>
    <xdr:pic>
      <xdr:nvPicPr>
        <xdr:cNvPr id="39005" name="Picture 26">
          <a:hlinkClick xmlns:r="http://schemas.openxmlformats.org/officeDocument/2006/relationships" r:id="rId10" tooltip="Go To Equipment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7150" y="1019175"/>
          <a:ext cx="895350" cy="228600"/>
        </a:xfrm>
        <a:prstGeom prst="rect">
          <a:avLst/>
        </a:prstGeom>
        <a:noFill/>
        <a:ln w="9525">
          <a:noFill/>
          <a:miter lim="800000"/>
          <a:headEnd/>
          <a:tailEnd/>
        </a:ln>
      </xdr:spPr>
    </xdr:pic>
    <xdr:clientData fPrintsWithSheet="0"/>
  </xdr:twoCellAnchor>
  <xdr:twoCellAnchor editAs="absolute">
    <xdr:from>
      <xdr:col>0</xdr:col>
      <xdr:colOff>104775</xdr:colOff>
      <xdr:row>6</xdr:row>
      <xdr:rowOff>161925</xdr:rowOff>
    </xdr:from>
    <xdr:to>
      <xdr:col>0</xdr:col>
      <xdr:colOff>333375</xdr:colOff>
      <xdr:row>8</xdr:row>
      <xdr:rowOff>38100</xdr:rowOff>
    </xdr:to>
    <xdr:pic>
      <xdr:nvPicPr>
        <xdr:cNvPr id="39006" name="Picture 27" descr="Code Information">
          <a:hlinkClick xmlns:r="http://schemas.openxmlformats.org/officeDocument/2006/relationships" r:id="rId12" tooltip="Code Information"/>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04775" y="1276350"/>
          <a:ext cx="228600" cy="228600"/>
        </a:xfrm>
        <a:prstGeom prst="rect">
          <a:avLst/>
        </a:prstGeom>
        <a:noFill/>
        <a:ln w="9525">
          <a:noFill/>
          <a:miter lim="800000"/>
          <a:headEnd/>
          <a:tailEnd/>
        </a:ln>
      </xdr:spPr>
    </xdr:pic>
    <xdr:clientData fPrintsWithSheet="0"/>
  </xdr:twoCellAnchor>
  <xdr:twoCellAnchor editAs="absolute">
    <xdr:from>
      <xdr:col>0</xdr:col>
      <xdr:colOff>361950</xdr:colOff>
      <xdr:row>6</xdr:row>
      <xdr:rowOff>161925</xdr:rowOff>
    </xdr:from>
    <xdr:to>
      <xdr:col>0</xdr:col>
      <xdr:colOff>590550</xdr:colOff>
      <xdr:row>8</xdr:row>
      <xdr:rowOff>38100</xdr:rowOff>
    </xdr:to>
    <xdr:pic>
      <xdr:nvPicPr>
        <xdr:cNvPr id="39007" name="Picture 28" descr="help">
          <a:hlinkClick xmlns:r="http://schemas.openxmlformats.org/officeDocument/2006/relationships" r:id="rId14" tooltip="Help"/>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61950" y="1276350"/>
          <a:ext cx="228600" cy="228600"/>
        </a:xfrm>
        <a:prstGeom prst="rect">
          <a:avLst/>
        </a:prstGeom>
        <a:noFill/>
        <a:ln w="9525">
          <a:noFill/>
          <a:miter lim="800000"/>
          <a:headEnd/>
          <a:tailEnd/>
        </a:ln>
      </xdr:spPr>
    </xdr:pic>
    <xdr:clientData fPrintsWithSheet="0"/>
  </xdr:twoCellAnchor>
  <xdr:twoCellAnchor editAs="absolute">
    <xdr:from>
      <xdr:col>0</xdr:col>
      <xdr:colOff>628650</xdr:colOff>
      <xdr:row>6</xdr:row>
      <xdr:rowOff>161925</xdr:rowOff>
    </xdr:from>
    <xdr:to>
      <xdr:col>0</xdr:col>
      <xdr:colOff>857250</xdr:colOff>
      <xdr:row>8</xdr:row>
      <xdr:rowOff>38100</xdr:rowOff>
    </xdr:to>
    <xdr:pic>
      <xdr:nvPicPr>
        <xdr:cNvPr id="39008" name="Picture 29" descr="star">
          <a:hlinkClick xmlns:r="http://schemas.openxmlformats.org/officeDocument/2006/relationships" r:id="rId16" tooltip="Conversions"/>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28650" y="1276350"/>
          <a:ext cx="228600" cy="22860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editAs="oneCell">
        <xdr:from>
          <xdr:col>2</xdr:col>
          <xdr:colOff>57150</xdr:colOff>
          <xdr:row>18</xdr:row>
          <xdr:rowOff>123825</xdr:rowOff>
        </xdr:from>
        <xdr:to>
          <xdr:col>5</xdr:col>
          <xdr:colOff>285750</xdr:colOff>
          <xdr:row>20</xdr:row>
          <xdr:rowOff>19050</xdr:rowOff>
        </xdr:to>
        <xdr:sp macro="" textlink="">
          <xdr:nvSpPr>
            <xdr:cNvPr id="38913" name="Drop Down 1" hidden="1">
              <a:extLst>
                <a:ext uri="{63B3BB69-23CF-44E3-9099-C40C66FF867C}">
                  <a14:compatExt spid="_x0000_s389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95250</xdr:colOff>
          <xdr:row>1</xdr:row>
          <xdr:rowOff>171450</xdr:rowOff>
        </xdr:from>
        <xdr:to>
          <xdr:col>5</xdr:col>
          <xdr:colOff>561975</xdr:colOff>
          <xdr:row>3</xdr:row>
          <xdr:rowOff>38100</xdr:rowOff>
        </xdr:to>
        <xdr:grpSp>
          <xdr:nvGrpSpPr>
            <xdr:cNvPr id="38923" name="Group 11"/>
            <xdr:cNvGrpSpPr>
              <a:grpSpLocks/>
            </xdr:cNvGrpSpPr>
          </xdr:nvGrpSpPr>
          <xdr:grpSpPr bwMode="auto">
            <a:xfrm>
              <a:off x="3762375" y="333375"/>
              <a:ext cx="1076325" cy="266700"/>
              <a:chOff x="7" y="41"/>
              <a:chExt cx="113" cy="28"/>
            </a:xfrm>
          </xdr:grpSpPr>
          <xdr:sp macro="" textlink="">
            <xdr:nvSpPr>
              <xdr:cNvPr id="38924" name="Option Button 12" hidden="1">
                <a:extLst>
                  <a:ext uri="{63B3BB69-23CF-44E3-9099-C40C66FF867C}">
                    <a14:compatExt spid="_x0000_s38924"/>
                  </a:ext>
                </a:extLst>
              </xdr:cNvPr>
              <xdr:cNvSpPr/>
            </xdr:nvSpPr>
            <xdr:spPr>
              <a:xfrm>
                <a:off x="11" y="46"/>
                <a:ext cx="46"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a:t>
                </a:r>
              </a:p>
            </xdr:txBody>
          </xdr:sp>
          <xdr:sp macro="" textlink="">
            <xdr:nvSpPr>
              <xdr:cNvPr id="38925" name="Option Button 13" hidden="1">
                <a:extLst>
                  <a:ext uri="{63B3BB69-23CF-44E3-9099-C40C66FF867C}">
                    <a14:compatExt spid="_x0000_s38925"/>
                  </a:ext>
                </a:extLst>
              </xdr:cNvPr>
              <xdr:cNvSpPr/>
            </xdr:nvSpPr>
            <xdr:spPr>
              <a:xfrm>
                <a:off x="55" y="46"/>
                <a:ext cx="57"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Metric</a:t>
                </a:r>
              </a:p>
            </xdr:txBody>
          </xdr:sp>
          <xdr:sp macro="" textlink="">
            <xdr:nvSpPr>
              <xdr:cNvPr id="38926" name="Group Box 14" hidden="1">
                <a:extLst>
                  <a:ext uri="{63B3BB69-23CF-44E3-9099-C40C66FF867C}">
                    <a14:compatExt spid="_x0000_s38926"/>
                  </a:ext>
                </a:extLst>
              </xdr:cNvPr>
              <xdr:cNvSpPr/>
            </xdr:nvSpPr>
            <xdr:spPr>
              <a:xfrm>
                <a:off x="7" y="41"/>
                <a:ext cx="113" cy="28"/>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Measurement Units</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247650</xdr:colOff>
          <xdr:row>15</xdr:row>
          <xdr:rowOff>114300</xdr:rowOff>
        </xdr:from>
        <xdr:to>
          <xdr:col>5</xdr:col>
          <xdr:colOff>514350</xdr:colOff>
          <xdr:row>16</xdr:row>
          <xdr:rowOff>161925</xdr:rowOff>
        </xdr:to>
        <xdr:sp macro="" textlink="">
          <xdr:nvSpPr>
            <xdr:cNvPr id="38917" name="Option Button 5" hidden="1">
              <a:extLst>
                <a:ext uri="{63B3BB69-23CF-44E3-9099-C40C66FF867C}">
                  <a14:compatExt spid="_x0000_s389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238125</xdr:colOff>
          <xdr:row>16</xdr:row>
          <xdr:rowOff>123825</xdr:rowOff>
        </xdr:from>
        <xdr:to>
          <xdr:col>5</xdr:col>
          <xdr:colOff>400050</xdr:colOff>
          <xdr:row>17</xdr:row>
          <xdr:rowOff>142875</xdr:rowOff>
        </xdr:to>
        <xdr:sp macro="" textlink="">
          <xdr:nvSpPr>
            <xdr:cNvPr id="38918" name="Option Button 6" hidden="1">
              <a:extLst>
                <a:ext uri="{63B3BB69-23CF-44E3-9099-C40C66FF867C}">
                  <a14:compatExt spid="_x0000_s389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Metric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15</xdr:row>
          <xdr:rowOff>47625</xdr:rowOff>
        </xdr:from>
        <xdr:to>
          <xdr:col>5</xdr:col>
          <xdr:colOff>523875</xdr:colOff>
          <xdr:row>17</xdr:row>
          <xdr:rowOff>152400</xdr:rowOff>
        </xdr:to>
        <xdr:sp macro="" textlink="">
          <xdr:nvSpPr>
            <xdr:cNvPr id="38919" name="Group Box 7" hidden="1">
              <a:extLst>
                <a:ext uri="{63B3BB69-23CF-44E3-9099-C40C66FF867C}">
                  <a14:compatExt spid="_x0000_s38919"/>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Weight Display</a:t>
              </a:r>
            </a:p>
          </xdr:txBody>
        </xdr:sp>
        <xdr:clientData fLocksWithSheet="0"/>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4</xdr:col>
      <xdr:colOff>104775</xdr:colOff>
      <xdr:row>14</xdr:row>
      <xdr:rowOff>95250</xdr:rowOff>
    </xdr:from>
    <xdr:to>
      <xdr:col>6</xdr:col>
      <xdr:colOff>0</xdr:colOff>
      <xdr:row>18</xdr:row>
      <xdr:rowOff>47625</xdr:rowOff>
    </xdr:to>
    <xdr:grpSp>
      <xdr:nvGrpSpPr>
        <xdr:cNvPr id="37973" name="Group 3"/>
        <xdr:cNvGrpSpPr>
          <a:grpSpLocks/>
        </xdr:cNvGrpSpPr>
      </xdr:nvGrpSpPr>
      <xdr:grpSpPr bwMode="auto">
        <a:xfrm>
          <a:off x="3419475" y="2571750"/>
          <a:ext cx="1114425" cy="685800"/>
          <a:chOff x="355" y="273"/>
          <a:chExt cx="117" cy="72"/>
        </a:xfrm>
      </xdr:grpSpPr>
      <xdr:sp macro="" textlink="">
        <xdr:nvSpPr>
          <xdr:cNvPr id="37986" name="Rectangle 4"/>
          <xdr:cNvSpPr>
            <a:spLocks noChangeArrowheads="1"/>
          </xdr:cNvSpPr>
        </xdr:nvSpPr>
        <xdr:spPr bwMode="auto">
          <a:xfrm>
            <a:off x="355" y="273"/>
            <a:ext cx="117" cy="72"/>
          </a:xfrm>
          <a:prstGeom prst="rect">
            <a:avLst/>
          </a:prstGeom>
          <a:solidFill>
            <a:srgbClr val="FFFF99"/>
          </a:solidFill>
          <a:ln w="9525">
            <a:solidFill>
              <a:srgbClr val="000000"/>
            </a:solidFill>
            <a:miter lim="800000"/>
            <a:headEnd/>
            <a:tailEnd/>
          </a:ln>
        </xdr:spPr>
      </xdr:sp>
    </xdr:grpSp>
    <xdr:clientData/>
  </xdr:twoCellAnchor>
  <xdr:twoCellAnchor>
    <xdr:from>
      <xdr:col>4</xdr:col>
      <xdr:colOff>28575</xdr:colOff>
      <xdr:row>0</xdr:row>
      <xdr:rowOff>9525</xdr:rowOff>
    </xdr:from>
    <xdr:to>
      <xdr:col>6</xdr:col>
      <xdr:colOff>38100</xdr:colOff>
      <xdr:row>6</xdr:row>
      <xdr:rowOff>38100</xdr:rowOff>
    </xdr:to>
    <xdr:grpSp>
      <xdr:nvGrpSpPr>
        <xdr:cNvPr id="37974" name="Group 8"/>
        <xdr:cNvGrpSpPr>
          <a:grpSpLocks/>
        </xdr:cNvGrpSpPr>
      </xdr:nvGrpSpPr>
      <xdr:grpSpPr bwMode="auto">
        <a:xfrm>
          <a:off x="3343275" y="9525"/>
          <a:ext cx="1228725" cy="1162050"/>
          <a:chOff x="357" y="4"/>
          <a:chExt cx="129" cy="122"/>
        </a:xfrm>
      </xdr:grpSpPr>
      <xdr:sp macro="" textlink="">
        <xdr:nvSpPr>
          <xdr:cNvPr id="37984" name="Rectangle 9"/>
          <xdr:cNvSpPr>
            <a:spLocks noChangeArrowheads="1"/>
          </xdr:cNvSpPr>
        </xdr:nvSpPr>
        <xdr:spPr bwMode="auto">
          <a:xfrm>
            <a:off x="357" y="4"/>
            <a:ext cx="129" cy="122"/>
          </a:xfrm>
          <a:prstGeom prst="rect">
            <a:avLst/>
          </a:prstGeom>
          <a:solidFill>
            <a:srgbClr val="FFFFFF"/>
          </a:solidFill>
          <a:ln w="9525">
            <a:noFill/>
            <a:miter lim="800000"/>
            <a:headEnd/>
            <a:tailEnd/>
          </a:ln>
        </xdr:spPr>
      </xdr:sp>
      <xdr:sp macro="" textlink="">
        <xdr:nvSpPr>
          <xdr:cNvPr id="37985" name="Rectangle 10"/>
          <xdr:cNvSpPr>
            <a:spLocks noChangeArrowheads="1"/>
          </xdr:cNvSpPr>
        </xdr:nvSpPr>
        <xdr:spPr bwMode="auto">
          <a:xfrm>
            <a:off x="358" y="28"/>
            <a:ext cx="126" cy="43"/>
          </a:xfrm>
          <a:prstGeom prst="rect">
            <a:avLst/>
          </a:prstGeom>
          <a:solidFill>
            <a:srgbClr val="FFFF99"/>
          </a:solidFill>
          <a:ln w="9525">
            <a:solidFill>
              <a:srgbClr val="000000"/>
            </a:solidFill>
            <a:miter lim="800000"/>
            <a:headEnd/>
            <a:tailEnd/>
          </a:ln>
        </xdr:spPr>
      </xdr:sp>
    </xdr:grpSp>
    <xdr:clientData/>
  </xdr:twoCellAnchor>
  <xdr:twoCellAnchor editAs="oneCell">
    <xdr:from>
      <xdr:col>5</xdr:col>
      <xdr:colOff>590550</xdr:colOff>
      <xdr:row>3</xdr:row>
      <xdr:rowOff>104775</xdr:rowOff>
    </xdr:from>
    <xdr:to>
      <xdr:col>9</xdr:col>
      <xdr:colOff>47625</xdr:colOff>
      <xdr:row>19</xdr:row>
      <xdr:rowOff>133350</xdr:rowOff>
    </xdr:to>
    <xdr:pic>
      <xdr:nvPicPr>
        <xdr:cNvPr id="37975"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4514850" y="666750"/>
          <a:ext cx="1895475" cy="2838450"/>
        </a:xfrm>
        <a:prstGeom prst="rect">
          <a:avLst/>
        </a:prstGeom>
        <a:noFill/>
        <a:ln w="9525">
          <a:noFill/>
          <a:miter lim="800000"/>
          <a:headEnd/>
          <a:tailEnd/>
        </a:ln>
      </xdr:spPr>
    </xdr:pic>
    <xdr:clientData/>
  </xdr:twoCellAnchor>
  <xdr:twoCellAnchor editAs="absolute">
    <xdr:from>
      <xdr:col>0</xdr:col>
      <xdr:colOff>76200</xdr:colOff>
      <xdr:row>0</xdr:row>
      <xdr:rowOff>66675</xdr:rowOff>
    </xdr:from>
    <xdr:to>
      <xdr:col>0</xdr:col>
      <xdr:colOff>971550</xdr:colOff>
      <xdr:row>1</xdr:row>
      <xdr:rowOff>133350</xdr:rowOff>
    </xdr:to>
    <xdr:pic>
      <xdr:nvPicPr>
        <xdr:cNvPr id="37976" name="Picture 21">
          <a:hlinkClick xmlns:r="http://schemas.openxmlformats.org/officeDocument/2006/relationships" r:id="rId2" tooltip="Return to Main Menu"/>
        </xdr:cNvPr>
        <xdr:cNvPicPr>
          <a:picLocks noChangeAspect="1" noChangeArrowheads="1"/>
        </xdr:cNvPicPr>
      </xdr:nvPicPr>
      <xdr:blipFill>
        <a:blip xmlns:r="http://schemas.openxmlformats.org/officeDocument/2006/relationships" r:embed="rId3" cstate="print"/>
        <a:srcRect/>
        <a:stretch>
          <a:fillRect/>
        </a:stretch>
      </xdr:blipFill>
      <xdr:spPr bwMode="auto">
        <a:xfrm>
          <a:off x="76200" y="66675"/>
          <a:ext cx="895350" cy="228600"/>
        </a:xfrm>
        <a:prstGeom prst="rect">
          <a:avLst/>
        </a:prstGeom>
        <a:noFill/>
        <a:ln w="9525">
          <a:noFill/>
          <a:miter lim="800000"/>
          <a:headEnd/>
          <a:tailEnd/>
        </a:ln>
      </xdr:spPr>
    </xdr:pic>
    <xdr:clientData fPrintsWithSheet="0"/>
  </xdr:twoCellAnchor>
  <xdr:twoCellAnchor editAs="absolute">
    <xdr:from>
      <xdr:col>0</xdr:col>
      <xdr:colOff>76200</xdr:colOff>
      <xdr:row>1</xdr:row>
      <xdr:rowOff>142875</xdr:rowOff>
    </xdr:from>
    <xdr:to>
      <xdr:col>0</xdr:col>
      <xdr:colOff>971550</xdr:colOff>
      <xdr:row>2</xdr:row>
      <xdr:rowOff>171450</xdr:rowOff>
    </xdr:to>
    <xdr:pic>
      <xdr:nvPicPr>
        <xdr:cNvPr id="37977" name="Picture 22">
          <a:hlinkClick xmlns:r="http://schemas.openxmlformats.org/officeDocument/2006/relationships" r:id="rId4" tooltip="Go To Master Index"/>
        </xdr:cNvPr>
        <xdr:cNvPicPr>
          <a:picLocks noChangeAspect="1" noChangeArrowheads="1"/>
        </xdr:cNvPicPr>
      </xdr:nvPicPr>
      <xdr:blipFill>
        <a:blip xmlns:r="http://schemas.openxmlformats.org/officeDocument/2006/relationships" r:embed="rId5" cstate="print"/>
        <a:srcRect/>
        <a:stretch>
          <a:fillRect/>
        </a:stretch>
      </xdr:blipFill>
      <xdr:spPr bwMode="auto">
        <a:xfrm>
          <a:off x="76200" y="304800"/>
          <a:ext cx="895350" cy="228600"/>
        </a:xfrm>
        <a:prstGeom prst="rect">
          <a:avLst/>
        </a:prstGeom>
        <a:noFill/>
        <a:ln w="9525">
          <a:noFill/>
          <a:miter lim="800000"/>
          <a:headEnd/>
          <a:tailEnd/>
        </a:ln>
      </xdr:spPr>
    </xdr:pic>
    <xdr:clientData fPrintsWithSheet="0"/>
  </xdr:twoCellAnchor>
  <xdr:twoCellAnchor editAs="absolute">
    <xdr:from>
      <xdr:col>0</xdr:col>
      <xdr:colOff>76200</xdr:colOff>
      <xdr:row>3</xdr:row>
      <xdr:rowOff>0</xdr:rowOff>
    </xdr:from>
    <xdr:to>
      <xdr:col>0</xdr:col>
      <xdr:colOff>971550</xdr:colOff>
      <xdr:row>4</xdr:row>
      <xdr:rowOff>28575</xdr:rowOff>
    </xdr:to>
    <xdr:pic>
      <xdr:nvPicPr>
        <xdr:cNvPr id="37978" name="Picture 23">
          <a:hlinkClick xmlns:r="http://schemas.openxmlformats.org/officeDocument/2006/relationships" r:id="rId6" tooltip="Go To Weights Menu"/>
        </xdr:cNvPr>
        <xdr:cNvPicPr>
          <a:picLocks noChangeAspect="1" noChangeArrowheads="1"/>
        </xdr:cNvPicPr>
      </xdr:nvPicPr>
      <xdr:blipFill>
        <a:blip xmlns:r="http://schemas.openxmlformats.org/officeDocument/2006/relationships" r:embed="rId7" cstate="print"/>
        <a:srcRect/>
        <a:stretch>
          <a:fillRect/>
        </a:stretch>
      </xdr:blipFill>
      <xdr:spPr bwMode="auto">
        <a:xfrm>
          <a:off x="76200" y="561975"/>
          <a:ext cx="895350" cy="228600"/>
        </a:xfrm>
        <a:prstGeom prst="rect">
          <a:avLst/>
        </a:prstGeom>
        <a:noFill/>
        <a:ln w="9525">
          <a:noFill/>
          <a:miter lim="800000"/>
          <a:headEnd/>
          <a:tailEnd/>
        </a:ln>
      </xdr:spPr>
    </xdr:pic>
    <xdr:clientData fPrintsWithSheet="0"/>
  </xdr:twoCellAnchor>
  <xdr:twoCellAnchor editAs="absolute">
    <xdr:from>
      <xdr:col>0</xdr:col>
      <xdr:colOff>76200</xdr:colOff>
      <xdr:row>4</xdr:row>
      <xdr:rowOff>28575</xdr:rowOff>
    </xdr:from>
    <xdr:to>
      <xdr:col>0</xdr:col>
      <xdr:colOff>971550</xdr:colOff>
      <xdr:row>5</xdr:row>
      <xdr:rowOff>57150</xdr:rowOff>
    </xdr:to>
    <xdr:pic>
      <xdr:nvPicPr>
        <xdr:cNvPr id="37979" name="Picture 24">
          <a:hlinkClick xmlns:r="http://schemas.openxmlformats.org/officeDocument/2006/relationships" r:id="rId8" tooltip="Go To Tension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76200" y="790575"/>
          <a:ext cx="895350" cy="228600"/>
        </a:xfrm>
        <a:prstGeom prst="rect">
          <a:avLst/>
        </a:prstGeom>
        <a:noFill/>
        <a:ln w="9525">
          <a:noFill/>
          <a:miter lim="800000"/>
          <a:headEnd/>
          <a:tailEnd/>
        </a:ln>
      </xdr:spPr>
    </xdr:pic>
    <xdr:clientData fPrintsWithSheet="0"/>
  </xdr:twoCellAnchor>
  <xdr:twoCellAnchor editAs="absolute">
    <xdr:from>
      <xdr:col>0</xdr:col>
      <xdr:colOff>76200</xdr:colOff>
      <xdr:row>5</xdr:row>
      <xdr:rowOff>57150</xdr:rowOff>
    </xdr:from>
    <xdr:to>
      <xdr:col>0</xdr:col>
      <xdr:colOff>971550</xdr:colOff>
      <xdr:row>6</xdr:row>
      <xdr:rowOff>114300</xdr:rowOff>
    </xdr:to>
    <xdr:pic>
      <xdr:nvPicPr>
        <xdr:cNvPr id="37980" name="Picture 25">
          <a:hlinkClick xmlns:r="http://schemas.openxmlformats.org/officeDocument/2006/relationships" r:id="rId10" tooltip="Go To Equipment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76200" y="1019175"/>
          <a:ext cx="895350" cy="228600"/>
        </a:xfrm>
        <a:prstGeom prst="rect">
          <a:avLst/>
        </a:prstGeom>
        <a:noFill/>
        <a:ln w="9525">
          <a:noFill/>
          <a:miter lim="800000"/>
          <a:headEnd/>
          <a:tailEnd/>
        </a:ln>
      </xdr:spPr>
    </xdr:pic>
    <xdr:clientData fPrintsWithSheet="0"/>
  </xdr:twoCellAnchor>
  <xdr:twoCellAnchor editAs="absolute">
    <xdr:from>
      <xdr:col>0</xdr:col>
      <xdr:colOff>142875</xdr:colOff>
      <xdr:row>6</xdr:row>
      <xdr:rowOff>142875</xdr:rowOff>
    </xdr:from>
    <xdr:to>
      <xdr:col>0</xdr:col>
      <xdr:colOff>371475</xdr:colOff>
      <xdr:row>8</xdr:row>
      <xdr:rowOff>19050</xdr:rowOff>
    </xdr:to>
    <xdr:pic>
      <xdr:nvPicPr>
        <xdr:cNvPr id="37981" name="Picture 26" descr="Code Information">
          <a:hlinkClick xmlns:r="http://schemas.openxmlformats.org/officeDocument/2006/relationships" r:id="rId12" tooltip="Code Information"/>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42875" y="1276350"/>
          <a:ext cx="228600" cy="228600"/>
        </a:xfrm>
        <a:prstGeom prst="rect">
          <a:avLst/>
        </a:prstGeom>
        <a:noFill/>
        <a:ln w="9525">
          <a:noFill/>
          <a:miter lim="800000"/>
          <a:headEnd/>
          <a:tailEnd/>
        </a:ln>
      </xdr:spPr>
    </xdr:pic>
    <xdr:clientData fPrintsWithSheet="0"/>
  </xdr:twoCellAnchor>
  <xdr:twoCellAnchor editAs="absolute">
    <xdr:from>
      <xdr:col>0</xdr:col>
      <xdr:colOff>400050</xdr:colOff>
      <xdr:row>6</xdr:row>
      <xdr:rowOff>142875</xdr:rowOff>
    </xdr:from>
    <xdr:to>
      <xdr:col>0</xdr:col>
      <xdr:colOff>628650</xdr:colOff>
      <xdr:row>8</xdr:row>
      <xdr:rowOff>19050</xdr:rowOff>
    </xdr:to>
    <xdr:pic>
      <xdr:nvPicPr>
        <xdr:cNvPr id="37982" name="Picture 27" descr="help">
          <a:hlinkClick xmlns:r="http://schemas.openxmlformats.org/officeDocument/2006/relationships" r:id="rId14" tooltip="Help"/>
        </xdr:cNvPr>
        <xdr:cNvPicPr>
          <a:picLocks noChangeAspect="1" noChangeArrowheads="1"/>
        </xdr:cNvPicPr>
      </xdr:nvPicPr>
      <xdr:blipFill>
        <a:blip xmlns:r="http://schemas.openxmlformats.org/officeDocument/2006/relationships" r:embed="rId15" cstate="print"/>
        <a:srcRect/>
        <a:stretch>
          <a:fillRect/>
        </a:stretch>
      </xdr:blipFill>
      <xdr:spPr bwMode="auto">
        <a:xfrm>
          <a:off x="400050" y="1276350"/>
          <a:ext cx="228600" cy="228600"/>
        </a:xfrm>
        <a:prstGeom prst="rect">
          <a:avLst/>
        </a:prstGeom>
        <a:noFill/>
        <a:ln w="9525">
          <a:noFill/>
          <a:miter lim="800000"/>
          <a:headEnd/>
          <a:tailEnd/>
        </a:ln>
      </xdr:spPr>
    </xdr:pic>
    <xdr:clientData fPrintsWithSheet="0"/>
  </xdr:twoCellAnchor>
  <xdr:twoCellAnchor editAs="absolute">
    <xdr:from>
      <xdr:col>0</xdr:col>
      <xdr:colOff>666750</xdr:colOff>
      <xdr:row>6</xdr:row>
      <xdr:rowOff>142875</xdr:rowOff>
    </xdr:from>
    <xdr:to>
      <xdr:col>0</xdr:col>
      <xdr:colOff>895350</xdr:colOff>
      <xdr:row>8</xdr:row>
      <xdr:rowOff>19050</xdr:rowOff>
    </xdr:to>
    <xdr:pic>
      <xdr:nvPicPr>
        <xdr:cNvPr id="37983" name="Picture 28" descr="star">
          <a:hlinkClick xmlns:r="http://schemas.openxmlformats.org/officeDocument/2006/relationships" r:id="rId16" tooltip="Conversions"/>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66750" y="1276350"/>
          <a:ext cx="228600" cy="22860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editAs="oneCell">
        <xdr:from>
          <xdr:col>2</xdr:col>
          <xdr:colOff>57150</xdr:colOff>
          <xdr:row>18</xdr:row>
          <xdr:rowOff>123825</xdr:rowOff>
        </xdr:from>
        <xdr:to>
          <xdr:col>5</xdr:col>
          <xdr:colOff>285750</xdr:colOff>
          <xdr:row>20</xdr:row>
          <xdr:rowOff>19050</xdr:rowOff>
        </xdr:to>
        <xdr:sp macro="" textlink="">
          <xdr:nvSpPr>
            <xdr:cNvPr id="37889" name="Drop Down 1" hidden="1">
              <a:extLst>
                <a:ext uri="{63B3BB69-23CF-44E3-9099-C40C66FF867C}">
                  <a14:compatExt spid="_x0000_s378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1</xdr:row>
          <xdr:rowOff>152400</xdr:rowOff>
        </xdr:from>
        <xdr:to>
          <xdr:col>5</xdr:col>
          <xdr:colOff>571500</xdr:colOff>
          <xdr:row>3</xdr:row>
          <xdr:rowOff>19050</xdr:rowOff>
        </xdr:to>
        <xdr:grpSp>
          <xdr:nvGrpSpPr>
            <xdr:cNvPr id="37899" name="Group 11"/>
            <xdr:cNvGrpSpPr>
              <a:grpSpLocks/>
            </xdr:cNvGrpSpPr>
          </xdr:nvGrpSpPr>
          <xdr:grpSpPr bwMode="auto">
            <a:xfrm>
              <a:off x="3419475" y="314325"/>
              <a:ext cx="1076325" cy="266700"/>
              <a:chOff x="7" y="41"/>
              <a:chExt cx="113" cy="28"/>
            </a:xfrm>
          </xdr:grpSpPr>
          <xdr:sp macro="" textlink="">
            <xdr:nvSpPr>
              <xdr:cNvPr id="37900" name="Option Button 12" hidden="1">
                <a:extLst>
                  <a:ext uri="{63B3BB69-23CF-44E3-9099-C40C66FF867C}">
                    <a14:compatExt spid="_x0000_s37900"/>
                  </a:ext>
                </a:extLst>
              </xdr:cNvPr>
              <xdr:cNvSpPr/>
            </xdr:nvSpPr>
            <xdr:spPr>
              <a:xfrm>
                <a:off x="11" y="46"/>
                <a:ext cx="46"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a:t>
                </a:r>
              </a:p>
            </xdr:txBody>
          </xdr:sp>
          <xdr:sp macro="" textlink="">
            <xdr:nvSpPr>
              <xdr:cNvPr id="37901" name="Option Button 13" hidden="1">
                <a:extLst>
                  <a:ext uri="{63B3BB69-23CF-44E3-9099-C40C66FF867C}">
                    <a14:compatExt spid="_x0000_s37901"/>
                  </a:ext>
                </a:extLst>
              </xdr:cNvPr>
              <xdr:cNvSpPr/>
            </xdr:nvSpPr>
            <xdr:spPr>
              <a:xfrm>
                <a:off x="55" y="46"/>
                <a:ext cx="57"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Metric</a:t>
                </a:r>
              </a:p>
            </xdr:txBody>
          </xdr:sp>
          <xdr:sp macro="" textlink="">
            <xdr:nvSpPr>
              <xdr:cNvPr id="37902" name="Group Box 14" hidden="1">
                <a:extLst>
                  <a:ext uri="{63B3BB69-23CF-44E3-9099-C40C66FF867C}">
                    <a14:compatExt spid="_x0000_s37902"/>
                  </a:ext>
                </a:extLst>
              </xdr:cNvPr>
              <xdr:cNvSpPr/>
            </xdr:nvSpPr>
            <xdr:spPr>
              <a:xfrm>
                <a:off x="7" y="41"/>
                <a:ext cx="113" cy="28"/>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Measurement Units</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247650</xdr:colOff>
          <xdr:row>15</xdr:row>
          <xdr:rowOff>114300</xdr:rowOff>
        </xdr:from>
        <xdr:to>
          <xdr:col>5</xdr:col>
          <xdr:colOff>514350</xdr:colOff>
          <xdr:row>16</xdr:row>
          <xdr:rowOff>161925</xdr:rowOff>
        </xdr:to>
        <xdr:sp macro="" textlink="">
          <xdr:nvSpPr>
            <xdr:cNvPr id="37893" name="Option Button 5" hidden="1">
              <a:extLst>
                <a:ext uri="{63B3BB69-23CF-44E3-9099-C40C66FF867C}">
                  <a14:compatExt spid="_x0000_s378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238125</xdr:colOff>
          <xdr:row>16</xdr:row>
          <xdr:rowOff>123825</xdr:rowOff>
        </xdr:from>
        <xdr:to>
          <xdr:col>5</xdr:col>
          <xdr:colOff>400050</xdr:colOff>
          <xdr:row>17</xdr:row>
          <xdr:rowOff>142875</xdr:rowOff>
        </xdr:to>
        <xdr:sp macro="" textlink="">
          <xdr:nvSpPr>
            <xdr:cNvPr id="37894" name="Option Button 6" hidden="1">
              <a:extLst>
                <a:ext uri="{63B3BB69-23CF-44E3-9099-C40C66FF867C}">
                  <a14:compatExt spid="_x0000_s378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Metric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15</xdr:row>
          <xdr:rowOff>47625</xdr:rowOff>
        </xdr:from>
        <xdr:to>
          <xdr:col>5</xdr:col>
          <xdr:colOff>523875</xdr:colOff>
          <xdr:row>17</xdr:row>
          <xdr:rowOff>152400</xdr:rowOff>
        </xdr:to>
        <xdr:sp macro="" textlink="">
          <xdr:nvSpPr>
            <xdr:cNvPr id="37895" name="Group Box 7" hidden="1">
              <a:extLst>
                <a:ext uri="{63B3BB69-23CF-44E3-9099-C40C66FF867C}">
                  <a14:compatExt spid="_x0000_s37895"/>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Weight Display</a:t>
              </a:r>
            </a:p>
          </xdr:txBody>
        </xdr:sp>
        <xdr:clientData fLocksWithSheet="0"/>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4</xdr:col>
      <xdr:colOff>295275</xdr:colOff>
      <xdr:row>3</xdr:row>
      <xdr:rowOff>104775</xdr:rowOff>
    </xdr:from>
    <xdr:to>
      <xdr:col>11</xdr:col>
      <xdr:colOff>95250</xdr:colOff>
      <xdr:row>20</xdr:row>
      <xdr:rowOff>85725</xdr:rowOff>
    </xdr:to>
    <xdr:pic>
      <xdr:nvPicPr>
        <xdr:cNvPr id="1952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3476625" y="666750"/>
          <a:ext cx="4067175" cy="3038475"/>
        </a:xfrm>
        <a:prstGeom prst="rect">
          <a:avLst/>
        </a:prstGeom>
        <a:noFill/>
        <a:ln w="9525">
          <a:noFill/>
          <a:miter lim="800000"/>
          <a:headEnd/>
          <a:tailEnd/>
        </a:ln>
      </xdr:spPr>
    </xdr:pic>
    <xdr:clientData/>
  </xdr:twoCellAnchor>
  <xdr:twoCellAnchor editAs="absolute">
    <xdr:from>
      <xdr:col>0</xdr:col>
      <xdr:colOff>219075</xdr:colOff>
      <xdr:row>17</xdr:row>
      <xdr:rowOff>114300</xdr:rowOff>
    </xdr:from>
    <xdr:to>
      <xdr:col>4</xdr:col>
      <xdr:colOff>428625</xdr:colOff>
      <xdr:row>24</xdr:row>
      <xdr:rowOff>47625</xdr:rowOff>
    </xdr:to>
    <xdr:sp macro="" textlink="">
      <xdr:nvSpPr>
        <xdr:cNvPr id="19465" name="Text 11"/>
        <xdr:cNvSpPr>
          <a:spLocks noChangeArrowheads="1"/>
        </xdr:cNvSpPr>
      </xdr:nvSpPr>
      <xdr:spPr bwMode="auto">
        <a:xfrm>
          <a:off x="219075" y="3248025"/>
          <a:ext cx="3390900" cy="106680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en-GB" sz="1000" b="1" i="0" u="none" strike="noStrike" baseline="0">
              <a:solidFill>
                <a:srgbClr val="FF0000"/>
              </a:solidFill>
              <a:latin typeface="Arial"/>
              <a:cs typeface="Arial"/>
            </a:rPr>
            <a:t>NOTE:</a:t>
          </a:r>
          <a:r>
            <a:rPr lang="en-GB" sz="1000" b="0" i="0" u="none" strike="noStrike" baseline="0">
              <a:solidFill>
                <a:srgbClr val="000000"/>
              </a:solidFill>
              <a:latin typeface="Arial"/>
              <a:cs typeface="Arial"/>
            </a:rPr>
            <a:t> </a:t>
          </a:r>
          <a:r>
            <a:rPr lang="en-GB" sz="1000" b="0" i="0" u="none" strike="noStrike" baseline="0">
              <a:solidFill>
                <a:srgbClr val="0000FF"/>
              </a:solidFill>
              <a:latin typeface="Arial"/>
              <a:cs typeface="Arial"/>
            </a:rPr>
            <a:t>This will provide an ESTIMATE of what an electric motor might weigh.  This will be on the "high" side and is intended to help in determining the proper rigging equipment to be used.</a:t>
          </a:r>
        </a:p>
        <a:p>
          <a:pPr algn="l" rtl="0">
            <a:defRPr sz="1000"/>
          </a:pPr>
          <a:r>
            <a:rPr lang="en-GB" sz="1000" b="0" i="0" u="none" strike="noStrike" baseline="0">
              <a:solidFill>
                <a:srgbClr val="0000FF"/>
              </a:solidFill>
              <a:latin typeface="Arial"/>
              <a:cs typeface="Arial"/>
            </a:rPr>
            <a:t>Contact the original equipment manufacturer for the accurate weight of this type of equipment. </a:t>
          </a:r>
        </a:p>
      </xdr:txBody>
    </xdr:sp>
    <xdr:clientData/>
  </xdr:twoCellAnchor>
  <xdr:twoCellAnchor editAs="absolute">
    <xdr:from>
      <xdr:col>0</xdr:col>
      <xdr:colOff>76200</xdr:colOff>
      <xdr:row>0</xdr:row>
      <xdr:rowOff>76200</xdr:rowOff>
    </xdr:from>
    <xdr:to>
      <xdr:col>0</xdr:col>
      <xdr:colOff>971550</xdr:colOff>
      <xdr:row>1</xdr:row>
      <xdr:rowOff>142875</xdr:rowOff>
    </xdr:to>
    <xdr:pic>
      <xdr:nvPicPr>
        <xdr:cNvPr id="19527" name="Picture 16">
          <a:hlinkClick xmlns:r="http://schemas.openxmlformats.org/officeDocument/2006/relationships" r:id="rId2" tooltip="Return to Main Menu"/>
        </xdr:cNvPr>
        <xdr:cNvPicPr>
          <a:picLocks noChangeAspect="1" noChangeArrowheads="1"/>
        </xdr:cNvPicPr>
      </xdr:nvPicPr>
      <xdr:blipFill>
        <a:blip xmlns:r="http://schemas.openxmlformats.org/officeDocument/2006/relationships" r:embed="rId3" cstate="print"/>
        <a:srcRect/>
        <a:stretch>
          <a:fillRect/>
        </a:stretch>
      </xdr:blipFill>
      <xdr:spPr bwMode="auto">
        <a:xfrm>
          <a:off x="76200" y="76200"/>
          <a:ext cx="895350" cy="228600"/>
        </a:xfrm>
        <a:prstGeom prst="rect">
          <a:avLst/>
        </a:prstGeom>
        <a:noFill/>
        <a:ln w="9525">
          <a:noFill/>
          <a:miter lim="800000"/>
          <a:headEnd/>
          <a:tailEnd/>
        </a:ln>
      </xdr:spPr>
    </xdr:pic>
    <xdr:clientData fPrintsWithSheet="0"/>
  </xdr:twoCellAnchor>
  <xdr:twoCellAnchor editAs="absolute">
    <xdr:from>
      <xdr:col>0</xdr:col>
      <xdr:colOff>76200</xdr:colOff>
      <xdr:row>1</xdr:row>
      <xdr:rowOff>152400</xdr:rowOff>
    </xdr:from>
    <xdr:to>
      <xdr:col>0</xdr:col>
      <xdr:colOff>971550</xdr:colOff>
      <xdr:row>2</xdr:row>
      <xdr:rowOff>219075</xdr:rowOff>
    </xdr:to>
    <xdr:pic>
      <xdr:nvPicPr>
        <xdr:cNvPr id="19528" name="Picture 17">
          <a:hlinkClick xmlns:r="http://schemas.openxmlformats.org/officeDocument/2006/relationships" r:id="rId4" tooltip="Go To Master Index"/>
        </xdr:cNvPr>
        <xdr:cNvPicPr>
          <a:picLocks noChangeAspect="1" noChangeArrowheads="1"/>
        </xdr:cNvPicPr>
      </xdr:nvPicPr>
      <xdr:blipFill>
        <a:blip xmlns:r="http://schemas.openxmlformats.org/officeDocument/2006/relationships" r:embed="rId5" cstate="print"/>
        <a:srcRect/>
        <a:stretch>
          <a:fillRect/>
        </a:stretch>
      </xdr:blipFill>
      <xdr:spPr bwMode="auto">
        <a:xfrm>
          <a:off x="76200" y="314325"/>
          <a:ext cx="895350" cy="228600"/>
        </a:xfrm>
        <a:prstGeom prst="rect">
          <a:avLst/>
        </a:prstGeom>
        <a:noFill/>
        <a:ln w="9525">
          <a:noFill/>
          <a:miter lim="800000"/>
          <a:headEnd/>
          <a:tailEnd/>
        </a:ln>
      </xdr:spPr>
    </xdr:pic>
    <xdr:clientData fPrintsWithSheet="0"/>
  </xdr:twoCellAnchor>
  <xdr:twoCellAnchor editAs="absolute">
    <xdr:from>
      <xdr:col>0</xdr:col>
      <xdr:colOff>76200</xdr:colOff>
      <xdr:row>3</xdr:row>
      <xdr:rowOff>9525</xdr:rowOff>
    </xdr:from>
    <xdr:to>
      <xdr:col>0</xdr:col>
      <xdr:colOff>971550</xdr:colOff>
      <xdr:row>4</xdr:row>
      <xdr:rowOff>28575</xdr:rowOff>
    </xdr:to>
    <xdr:pic>
      <xdr:nvPicPr>
        <xdr:cNvPr id="19529" name="Picture 18">
          <a:hlinkClick xmlns:r="http://schemas.openxmlformats.org/officeDocument/2006/relationships" r:id="rId6" tooltip="Go To Weights Menu"/>
        </xdr:cNvPr>
        <xdr:cNvPicPr>
          <a:picLocks noChangeAspect="1" noChangeArrowheads="1"/>
        </xdr:cNvPicPr>
      </xdr:nvPicPr>
      <xdr:blipFill>
        <a:blip xmlns:r="http://schemas.openxmlformats.org/officeDocument/2006/relationships" r:embed="rId7" cstate="print"/>
        <a:srcRect/>
        <a:stretch>
          <a:fillRect/>
        </a:stretch>
      </xdr:blipFill>
      <xdr:spPr bwMode="auto">
        <a:xfrm>
          <a:off x="76200" y="571500"/>
          <a:ext cx="895350" cy="228600"/>
        </a:xfrm>
        <a:prstGeom prst="rect">
          <a:avLst/>
        </a:prstGeom>
        <a:noFill/>
        <a:ln w="9525">
          <a:noFill/>
          <a:miter lim="800000"/>
          <a:headEnd/>
          <a:tailEnd/>
        </a:ln>
      </xdr:spPr>
    </xdr:pic>
    <xdr:clientData fPrintsWithSheet="0"/>
  </xdr:twoCellAnchor>
  <xdr:twoCellAnchor editAs="absolute">
    <xdr:from>
      <xdr:col>0</xdr:col>
      <xdr:colOff>76200</xdr:colOff>
      <xdr:row>4</xdr:row>
      <xdr:rowOff>28575</xdr:rowOff>
    </xdr:from>
    <xdr:to>
      <xdr:col>0</xdr:col>
      <xdr:colOff>971550</xdr:colOff>
      <xdr:row>5</xdr:row>
      <xdr:rowOff>47625</xdr:rowOff>
    </xdr:to>
    <xdr:pic>
      <xdr:nvPicPr>
        <xdr:cNvPr id="19530" name="Picture 19">
          <a:hlinkClick xmlns:r="http://schemas.openxmlformats.org/officeDocument/2006/relationships" r:id="rId8" tooltip="Go To Tension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76200" y="800100"/>
          <a:ext cx="895350" cy="228600"/>
        </a:xfrm>
        <a:prstGeom prst="rect">
          <a:avLst/>
        </a:prstGeom>
        <a:noFill/>
        <a:ln w="9525">
          <a:noFill/>
          <a:miter lim="800000"/>
          <a:headEnd/>
          <a:tailEnd/>
        </a:ln>
      </xdr:spPr>
    </xdr:pic>
    <xdr:clientData fPrintsWithSheet="0"/>
  </xdr:twoCellAnchor>
  <xdr:twoCellAnchor editAs="absolute">
    <xdr:from>
      <xdr:col>0</xdr:col>
      <xdr:colOff>76200</xdr:colOff>
      <xdr:row>5</xdr:row>
      <xdr:rowOff>47625</xdr:rowOff>
    </xdr:from>
    <xdr:to>
      <xdr:col>0</xdr:col>
      <xdr:colOff>971550</xdr:colOff>
      <xdr:row>6</xdr:row>
      <xdr:rowOff>76200</xdr:rowOff>
    </xdr:to>
    <xdr:pic>
      <xdr:nvPicPr>
        <xdr:cNvPr id="19531" name="Picture 20">
          <a:hlinkClick xmlns:r="http://schemas.openxmlformats.org/officeDocument/2006/relationships" r:id="rId10" tooltip="Go To Equipment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76200" y="1028700"/>
          <a:ext cx="895350" cy="228600"/>
        </a:xfrm>
        <a:prstGeom prst="rect">
          <a:avLst/>
        </a:prstGeom>
        <a:noFill/>
        <a:ln w="9525">
          <a:noFill/>
          <a:miter lim="800000"/>
          <a:headEnd/>
          <a:tailEnd/>
        </a:ln>
      </xdr:spPr>
    </xdr:pic>
    <xdr:clientData fPrintsWithSheet="0"/>
  </xdr:twoCellAnchor>
  <xdr:twoCellAnchor editAs="absolute">
    <xdr:from>
      <xdr:col>0</xdr:col>
      <xdr:colOff>123825</xdr:colOff>
      <xdr:row>6</xdr:row>
      <xdr:rowOff>114300</xdr:rowOff>
    </xdr:from>
    <xdr:to>
      <xdr:col>0</xdr:col>
      <xdr:colOff>352425</xdr:colOff>
      <xdr:row>7</xdr:row>
      <xdr:rowOff>171450</xdr:rowOff>
    </xdr:to>
    <xdr:pic>
      <xdr:nvPicPr>
        <xdr:cNvPr id="19532" name="Picture 21" descr="Code Information">
          <a:hlinkClick xmlns:r="http://schemas.openxmlformats.org/officeDocument/2006/relationships" r:id="rId12" tooltip="Code Information"/>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23825" y="1295400"/>
          <a:ext cx="228600" cy="228600"/>
        </a:xfrm>
        <a:prstGeom prst="rect">
          <a:avLst/>
        </a:prstGeom>
        <a:noFill/>
        <a:ln w="9525">
          <a:noFill/>
          <a:miter lim="800000"/>
          <a:headEnd/>
          <a:tailEnd/>
        </a:ln>
      </xdr:spPr>
    </xdr:pic>
    <xdr:clientData fPrintsWithSheet="0"/>
  </xdr:twoCellAnchor>
  <xdr:twoCellAnchor editAs="absolute">
    <xdr:from>
      <xdr:col>0</xdr:col>
      <xdr:colOff>381000</xdr:colOff>
      <xdr:row>6</xdr:row>
      <xdr:rowOff>114300</xdr:rowOff>
    </xdr:from>
    <xdr:to>
      <xdr:col>0</xdr:col>
      <xdr:colOff>609600</xdr:colOff>
      <xdr:row>7</xdr:row>
      <xdr:rowOff>171450</xdr:rowOff>
    </xdr:to>
    <xdr:pic>
      <xdr:nvPicPr>
        <xdr:cNvPr id="19533" name="Picture 22" descr="help">
          <a:hlinkClick xmlns:r="http://schemas.openxmlformats.org/officeDocument/2006/relationships" r:id="rId14" tooltip="Help"/>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81000" y="1295400"/>
          <a:ext cx="228600" cy="228600"/>
        </a:xfrm>
        <a:prstGeom prst="rect">
          <a:avLst/>
        </a:prstGeom>
        <a:noFill/>
        <a:ln w="9525">
          <a:noFill/>
          <a:miter lim="800000"/>
          <a:headEnd/>
          <a:tailEnd/>
        </a:ln>
      </xdr:spPr>
    </xdr:pic>
    <xdr:clientData fPrintsWithSheet="0"/>
  </xdr:twoCellAnchor>
  <xdr:twoCellAnchor editAs="absolute">
    <xdr:from>
      <xdr:col>0</xdr:col>
      <xdr:colOff>647700</xdr:colOff>
      <xdr:row>6</xdr:row>
      <xdr:rowOff>114300</xdr:rowOff>
    </xdr:from>
    <xdr:to>
      <xdr:col>0</xdr:col>
      <xdr:colOff>876300</xdr:colOff>
      <xdr:row>7</xdr:row>
      <xdr:rowOff>171450</xdr:rowOff>
    </xdr:to>
    <xdr:pic>
      <xdr:nvPicPr>
        <xdr:cNvPr id="19534" name="Picture 23" descr="star">
          <a:hlinkClick xmlns:r="http://schemas.openxmlformats.org/officeDocument/2006/relationships" r:id="rId16" tooltip="Conversions"/>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47700" y="1295400"/>
          <a:ext cx="228600" cy="228600"/>
        </a:xfrm>
        <a:prstGeom prst="rect">
          <a:avLst/>
        </a:prstGeom>
        <a:noFill/>
        <a:ln w="9525">
          <a:noFill/>
          <a:miter lim="800000"/>
          <a:headEnd/>
          <a:tailEnd/>
        </a:ln>
      </xdr:spPr>
    </xdr:pic>
    <xdr:clientData fPrintsWithSheet="0"/>
  </xdr:twoCellAnchor>
  <xdr:twoCellAnchor editAs="oneCell">
    <xdr:from>
      <xdr:col>5</xdr:col>
      <xdr:colOff>28575</xdr:colOff>
      <xdr:row>22</xdr:row>
      <xdr:rowOff>9525</xdr:rowOff>
    </xdr:from>
    <xdr:to>
      <xdr:col>10</xdr:col>
      <xdr:colOff>447675</xdr:colOff>
      <xdr:row>24</xdr:row>
      <xdr:rowOff>38100</xdr:rowOff>
    </xdr:to>
    <xdr:sp macro="" textlink="">
      <xdr:nvSpPr>
        <xdr:cNvPr id="19480" name="Text 4"/>
        <xdr:cNvSpPr>
          <a:spLocks noChangeArrowheads="1"/>
        </xdr:cNvSpPr>
      </xdr:nvSpPr>
      <xdr:spPr bwMode="auto">
        <a:xfrm>
          <a:off x="3819525" y="3952875"/>
          <a:ext cx="3467100" cy="3524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en-GB" sz="1000" b="1" i="0" u="none" strike="noStrike" baseline="0">
              <a:solidFill>
                <a:srgbClr val="FF0000"/>
              </a:solidFill>
              <a:latin typeface="Arial"/>
              <a:cs typeface="Arial"/>
            </a:rPr>
            <a:t>All calculations must be verified by a qualified person.</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9525</xdr:colOff>
      <xdr:row>4</xdr:row>
      <xdr:rowOff>57150</xdr:rowOff>
    </xdr:from>
    <xdr:to>
      <xdr:col>8</xdr:col>
      <xdr:colOff>390525</xdr:colOff>
      <xdr:row>21</xdr:row>
      <xdr:rowOff>95250</xdr:rowOff>
    </xdr:to>
    <xdr:pic>
      <xdr:nvPicPr>
        <xdr:cNvPr id="13381"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3076575" y="790575"/>
          <a:ext cx="2228850" cy="3248025"/>
        </a:xfrm>
        <a:prstGeom prst="rect">
          <a:avLst/>
        </a:prstGeom>
        <a:noFill/>
        <a:ln w="9525">
          <a:noFill/>
          <a:miter lim="800000"/>
          <a:headEnd/>
          <a:tailEnd/>
        </a:ln>
      </xdr:spPr>
    </xdr:pic>
    <xdr:clientData/>
  </xdr:twoCellAnchor>
  <xdr:twoCellAnchor editAs="absolute">
    <xdr:from>
      <xdr:col>0</xdr:col>
      <xdr:colOff>76200</xdr:colOff>
      <xdr:row>0</xdr:row>
      <xdr:rowOff>47625</xdr:rowOff>
    </xdr:from>
    <xdr:to>
      <xdr:col>1</xdr:col>
      <xdr:colOff>742950</xdr:colOff>
      <xdr:row>1</xdr:row>
      <xdr:rowOff>114300</xdr:rowOff>
    </xdr:to>
    <xdr:pic>
      <xdr:nvPicPr>
        <xdr:cNvPr id="13382" name="Picture 19">
          <a:hlinkClick xmlns:r="http://schemas.openxmlformats.org/officeDocument/2006/relationships" r:id="rId2" tooltip="Return to Main Menu"/>
        </xdr:cNvPr>
        <xdr:cNvPicPr>
          <a:picLocks noChangeAspect="1" noChangeArrowheads="1"/>
        </xdr:cNvPicPr>
      </xdr:nvPicPr>
      <xdr:blipFill>
        <a:blip xmlns:r="http://schemas.openxmlformats.org/officeDocument/2006/relationships" r:embed="rId3" cstate="print"/>
        <a:srcRect/>
        <a:stretch>
          <a:fillRect/>
        </a:stretch>
      </xdr:blipFill>
      <xdr:spPr bwMode="auto">
        <a:xfrm>
          <a:off x="76200" y="47625"/>
          <a:ext cx="895350" cy="228600"/>
        </a:xfrm>
        <a:prstGeom prst="rect">
          <a:avLst/>
        </a:prstGeom>
        <a:noFill/>
        <a:ln w="9525">
          <a:noFill/>
          <a:miter lim="800000"/>
          <a:headEnd/>
          <a:tailEnd/>
        </a:ln>
      </xdr:spPr>
    </xdr:pic>
    <xdr:clientData fPrintsWithSheet="0"/>
  </xdr:twoCellAnchor>
  <xdr:twoCellAnchor editAs="absolute">
    <xdr:from>
      <xdr:col>0</xdr:col>
      <xdr:colOff>76200</xdr:colOff>
      <xdr:row>1</xdr:row>
      <xdr:rowOff>123825</xdr:rowOff>
    </xdr:from>
    <xdr:to>
      <xdr:col>1</xdr:col>
      <xdr:colOff>742950</xdr:colOff>
      <xdr:row>3</xdr:row>
      <xdr:rowOff>9525</xdr:rowOff>
    </xdr:to>
    <xdr:pic>
      <xdr:nvPicPr>
        <xdr:cNvPr id="13383" name="Picture 20">
          <a:hlinkClick xmlns:r="http://schemas.openxmlformats.org/officeDocument/2006/relationships" r:id="rId4" tooltip="Go To Master Index"/>
        </xdr:cNvPr>
        <xdr:cNvPicPr>
          <a:picLocks noChangeAspect="1" noChangeArrowheads="1"/>
        </xdr:cNvPicPr>
      </xdr:nvPicPr>
      <xdr:blipFill>
        <a:blip xmlns:r="http://schemas.openxmlformats.org/officeDocument/2006/relationships" r:embed="rId5" cstate="print"/>
        <a:srcRect/>
        <a:stretch>
          <a:fillRect/>
        </a:stretch>
      </xdr:blipFill>
      <xdr:spPr bwMode="auto">
        <a:xfrm>
          <a:off x="76200" y="285750"/>
          <a:ext cx="895350" cy="228600"/>
        </a:xfrm>
        <a:prstGeom prst="rect">
          <a:avLst/>
        </a:prstGeom>
        <a:noFill/>
        <a:ln w="9525">
          <a:noFill/>
          <a:miter lim="800000"/>
          <a:headEnd/>
          <a:tailEnd/>
        </a:ln>
      </xdr:spPr>
    </xdr:pic>
    <xdr:clientData fPrintsWithSheet="0"/>
  </xdr:twoCellAnchor>
  <xdr:twoCellAnchor editAs="absolute">
    <xdr:from>
      <xdr:col>0</xdr:col>
      <xdr:colOff>76200</xdr:colOff>
      <xdr:row>3</xdr:row>
      <xdr:rowOff>38100</xdr:rowOff>
    </xdr:from>
    <xdr:to>
      <xdr:col>1</xdr:col>
      <xdr:colOff>742950</xdr:colOff>
      <xdr:row>4</xdr:row>
      <xdr:rowOff>38100</xdr:rowOff>
    </xdr:to>
    <xdr:pic>
      <xdr:nvPicPr>
        <xdr:cNvPr id="13384" name="Picture 21">
          <a:hlinkClick xmlns:r="http://schemas.openxmlformats.org/officeDocument/2006/relationships" r:id="rId6" tooltip="Go To Weights Menu"/>
        </xdr:cNvPr>
        <xdr:cNvPicPr>
          <a:picLocks noChangeAspect="1" noChangeArrowheads="1"/>
        </xdr:cNvPicPr>
      </xdr:nvPicPr>
      <xdr:blipFill>
        <a:blip xmlns:r="http://schemas.openxmlformats.org/officeDocument/2006/relationships" r:embed="rId7" cstate="print"/>
        <a:srcRect/>
        <a:stretch>
          <a:fillRect/>
        </a:stretch>
      </xdr:blipFill>
      <xdr:spPr bwMode="auto">
        <a:xfrm>
          <a:off x="76200" y="542925"/>
          <a:ext cx="895350" cy="228600"/>
        </a:xfrm>
        <a:prstGeom prst="rect">
          <a:avLst/>
        </a:prstGeom>
        <a:noFill/>
        <a:ln w="9525">
          <a:noFill/>
          <a:miter lim="800000"/>
          <a:headEnd/>
          <a:tailEnd/>
        </a:ln>
      </xdr:spPr>
    </xdr:pic>
    <xdr:clientData fPrintsWithSheet="0"/>
  </xdr:twoCellAnchor>
  <xdr:twoCellAnchor editAs="absolute">
    <xdr:from>
      <xdr:col>0</xdr:col>
      <xdr:colOff>76200</xdr:colOff>
      <xdr:row>4</xdr:row>
      <xdr:rowOff>38100</xdr:rowOff>
    </xdr:from>
    <xdr:to>
      <xdr:col>1</xdr:col>
      <xdr:colOff>742950</xdr:colOff>
      <xdr:row>5</xdr:row>
      <xdr:rowOff>66675</xdr:rowOff>
    </xdr:to>
    <xdr:pic>
      <xdr:nvPicPr>
        <xdr:cNvPr id="13385" name="Picture 22">
          <a:hlinkClick xmlns:r="http://schemas.openxmlformats.org/officeDocument/2006/relationships" r:id="rId8" tooltip="Go To Tension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76200" y="771525"/>
          <a:ext cx="895350" cy="228600"/>
        </a:xfrm>
        <a:prstGeom prst="rect">
          <a:avLst/>
        </a:prstGeom>
        <a:noFill/>
        <a:ln w="9525">
          <a:noFill/>
          <a:miter lim="800000"/>
          <a:headEnd/>
          <a:tailEnd/>
        </a:ln>
      </xdr:spPr>
    </xdr:pic>
    <xdr:clientData fPrintsWithSheet="0"/>
  </xdr:twoCellAnchor>
  <xdr:twoCellAnchor editAs="absolute">
    <xdr:from>
      <xdr:col>0</xdr:col>
      <xdr:colOff>76200</xdr:colOff>
      <xdr:row>5</xdr:row>
      <xdr:rowOff>66675</xdr:rowOff>
    </xdr:from>
    <xdr:to>
      <xdr:col>1</xdr:col>
      <xdr:colOff>742950</xdr:colOff>
      <xdr:row>6</xdr:row>
      <xdr:rowOff>95250</xdr:rowOff>
    </xdr:to>
    <xdr:pic>
      <xdr:nvPicPr>
        <xdr:cNvPr id="13386" name="Picture 23">
          <a:hlinkClick xmlns:r="http://schemas.openxmlformats.org/officeDocument/2006/relationships" r:id="rId10" tooltip="Go To Equipment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76200" y="1000125"/>
          <a:ext cx="895350" cy="228600"/>
        </a:xfrm>
        <a:prstGeom prst="rect">
          <a:avLst/>
        </a:prstGeom>
        <a:noFill/>
        <a:ln w="9525">
          <a:noFill/>
          <a:miter lim="800000"/>
          <a:headEnd/>
          <a:tailEnd/>
        </a:ln>
      </xdr:spPr>
    </xdr:pic>
    <xdr:clientData fPrintsWithSheet="0"/>
  </xdr:twoCellAnchor>
  <xdr:twoCellAnchor editAs="absolute">
    <xdr:from>
      <xdr:col>0</xdr:col>
      <xdr:colOff>133350</xdr:colOff>
      <xdr:row>6</xdr:row>
      <xdr:rowOff>104775</xdr:rowOff>
    </xdr:from>
    <xdr:to>
      <xdr:col>1</xdr:col>
      <xdr:colOff>133350</xdr:colOff>
      <xdr:row>7</xdr:row>
      <xdr:rowOff>133350</xdr:rowOff>
    </xdr:to>
    <xdr:pic>
      <xdr:nvPicPr>
        <xdr:cNvPr id="13387" name="Picture 24" descr="Code Information">
          <a:hlinkClick xmlns:r="http://schemas.openxmlformats.org/officeDocument/2006/relationships" r:id="rId12" tooltip="Code Information"/>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33350" y="1238250"/>
          <a:ext cx="228600" cy="228600"/>
        </a:xfrm>
        <a:prstGeom prst="rect">
          <a:avLst/>
        </a:prstGeom>
        <a:noFill/>
        <a:ln w="9525">
          <a:noFill/>
          <a:miter lim="800000"/>
          <a:headEnd/>
          <a:tailEnd/>
        </a:ln>
      </xdr:spPr>
    </xdr:pic>
    <xdr:clientData fPrintsWithSheet="0"/>
  </xdr:twoCellAnchor>
  <xdr:twoCellAnchor editAs="absolute">
    <xdr:from>
      <xdr:col>1</xdr:col>
      <xdr:colOff>161925</xdr:colOff>
      <xdr:row>6</xdr:row>
      <xdr:rowOff>104775</xdr:rowOff>
    </xdr:from>
    <xdr:to>
      <xdr:col>1</xdr:col>
      <xdr:colOff>390525</xdr:colOff>
      <xdr:row>7</xdr:row>
      <xdr:rowOff>133350</xdr:rowOff>
    </xdr:to>
    <xdr:pic>
      <xdr:nvPicPr>
        <xdr:cNvPr id="13388" name="Picture 25" descr="help">
          <a:hlinkClick xmlns:r="http://schemas.openxmlformats.org/officeDocument/2006/relationships" r:id="rId14" tooltip="Help"/>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90525" y="1238250"/>
          <a:ext cx="228600" cy="228600"/>
        </a:xfrm>
        <a:prstGeom prst="rect">
          <a:avLst/>
        </a:prstGeom>
        <a:noFill/>
        <a:ln w="9525">
          <a:noFill/>
          <a:miter lim="800000"/>
          <a:headEnd/>
          <a:tailEnd/>
        </a:ln>
      </xdr:spPr>
    </xdr:pic>
    <xdr:clientData fPrintsWithSheet="0"/>
  </xdr:twoCellAnchor>
  <xdr:twoCellAnchor editAs="absolute">
    <xdr:from>
      <xdr:col>1</xdr:col>
      <xdr:colOff>428625</xdr:colOff>
      <xdr:row>6</xdr:row>
      <xdr:rowOff>104775</xdr:rowOff>
    </xdr:from>
    <xdr:to>
      <xdr:col>1</xdr:col>
      <xdr:colOff>657225</xdr:colOff>
      <xdr:row>7</xdr:row>
      <xdr:rowOff>133350</xdr:rowOff>
    </xdr:to>
    <xdr:pic>
      <xdr:nvPicPr>
        <xdr:cNvPr id="13389" name="Picture 26" descr="star">
          <a:hlinkClick xmlns:r="http://schemas.openxmlformats.org/officeDocument/2006/relationships" r:id="rId16" tooltip="Conversions"/>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57225" y="1238250"/>
          <a:ext cx="228600" cy="228600"/>
        </a:xfrm>
        <a:prstGeom prst="rect">
          <a:avLst/>
        </a:prstGeom>
        <a:noFill/>
        <a:ln w="9525">
          <a:noFill/>
          <a:miter lim="800000"/>
          <a:headEnd/>
          <a:tailEnd/>
        </a:ln>
      </xdr:spPr>
    </xdr:pic>
    <xdr:clientData fPrintsWithSheet="0"/>
  </xdr:twoCellAnchor>
  <xdr:twoCellAnchor editAs="oneCell">
    <xdr:from>
      <xdr:col>5</xdr:col>
      <xdr:colOff>19050</xdr:colOff>
      <xdr:row>21</xdr:row>
      <xdr:rowOff>142875</xdr:rowOff>
    </xdr:from>
    <xdr:to>
      <xdr:col>9</xdr:col>
      <xdr:colOff>0</xdr:colOff>
      <xdr:row>24</xdr:row>
      <xdr:rowOff>114300</xdr:rowOff>
    </xdr:to>
    <xdr:sp macro="" textlink="">
      <xdr:nvSpPr>
        <xdr:cNvPr id="13340" name="Text 4"/>
        <xdr:cNvSpPr>
          <a:spLocks noChangeArrowheads="1"/>
        </xdr:cNvSpPr>
      </xdr:nvSpPr>
      <xdr:spPr bwMode="auto">
        <a:xfrm>
          <a:off x="3086100" y="4086225"/>
          <a:ext cx="2228850" cy="45720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en-GB" sz="1000" b="1" i="0" u="none" strike="noStrike" baseline="0">
              <a:solidFill>
                <a:srgbClr val="FF0000"/>
              </a:solidFill>
              <a:latin typeface="Arial"/>
              <a:cs typeface="Arial"/>
            </a:rPr>
            <a:t>All calculations must be verified by a qualified person.</a:t>
          </a:r>
        </a:p>
      </xdr:txBody>
    </xdr:sp>
    <xdr:clientData/>
  </xdr:twoCellAnchor>
  <mc:AlternateContent xmlns:mc="http://schemas.openxmlformats.org/markup-compatibility/2006">
    <mc:Choice xmlns:a14="http://schemas.microsoft.com/office/drawing/2010/main" Requires="a14">
      <xdr:twoCellAnchor editAs="oneCell">
        <xdr:from>
          <xdr:col>2</xdr:col>
          <xdr:colOff>47625</xdr:colOff>
          <xdr:row>20</xdr:row>
          <xdr:rowOff>142875</xdr:rowOff>
        </xdr:from>
        <xdr:to>
          <xdr:col>4</xdr:col>
          <xdr:colOff>257175</xdr:colOff>
          <xdr:row>22</xdr:row>
          <xdr:rowOff>28575</xdr:rowOff>
        </xdr:to>
        <xdr:sp macro="" textlink="">
          <xdr:nvSpPr>
            <xdr:cNvPr id="13315" name="Drop Down 3" hidden="1">
              <a:extLst>
                <a:ext uri="{63B3BB69-23CF-44E3-9099-C40C66FF867C}">
                  <a14:compatExt spid="_x0000_s13315"/>
                </a:ext>
              </a:extLst>
            </xdr:cNvPr>
            <xdr:cNvSpPr/>
          </xdr:nvSpPr>
          <xdr:spPr>
            <a:xfrm>
              <a:off x="0" y="0"/>
              <a:ext cx="0" cy="0"/>
            </a:xfrm>
            <a:prstGeom prst="rect">
              <a:avLst/>
            </a:prstGeom>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absolute">
    <xdr:from>
      <xdr:col>0</xdr:col>
      <xdr:colOff>85725</xdr:colOff>
      <xdr:row>0</xdr:row>
      <xdr:rowOff>76200</xdr:rowOff>
    </xdr:from>
    <xdr:to>
      <xdr:col>1</xdr:col>
      <xdr:colOff>142875</xdr:colOff>
      <xdr:row>1</xdr:row>
      <xdr:rowOff>142875</xdr:rowOff>
    </xdr:to>
    <xdr:pic>
      <xdr:nvPicPr>
        <xdr:cNvPr id="74836" name="Picture 1">
          <a:hlinkClick xmlns:r="http://schemas.openxmlformats.org/officeDocument/2006/relationships" r:id="rId1" tooltip="Return to Main Menu"/>
        </xdr:cNvPr>
        <xdr:cNvPicPr>
          <a:picLocks noChangeAspect="1" noChangeArrowheads="1"/>
        </xdr:cNvPicPr>
      </xdr:nvPicPr>
      <xdr:blipFill>
        <a:blip xmlns:r="http://schemas.openxmlformats.org/officeDocument/2006/relationships" r:embed="rId2" cstate="print"/>
        <a:srcRect/>
        <a:stretch>
          <a:fillRect/>
        </a:stretch>
      </xdr:blipFill>
      <xdr:spPr bwMode="auto">
        <a:xfrm>
          <a:off x="85725" y="76200"/>
          <a:ext cx="895350" cy="228600"/>
        </a:xfrm>
        <a:prstGeom prst="rect">
          <a:avLst/>
        </a:prstGeom>
        <a:noFill/>
        <a:ln w="9525">
          <a:noFill/>
          <a:miter lim="800000"/>
          <a:headEnd/>
          <a:tailEnd/>
        </a:ln>
      </xdr:spPr>
    </xdr:pic>
    <xdr:clientData fPrintsWithSheet="0"/>
  </xdr:twoCellAnchor>
  <xdr:twoCellAnchor editAs="absolute">
    <xdr:from>
      <xdr:col>0</xdr:col>
      <xdr:colOff>85725</xdr:colOff>
      <xdr:row>1</xdr:row>
      <xdr:rowOff>152400</xdr:rowOff>
    </xdr:from>
    <xdr:to>
      <xdr:col>1</xdr:col>
      <xdr:colOff>142875</xdr:colOff>
      <xdr:row>3</xdr:row>
      <xdr:rowOff>57150</xdr:rowOff>
    </xdr:to>
    <xdr:pic>
      <xdr:nvPicPr>
        <xdr:cNvPr id="74837" name="Picture 2">
          <a:hlinkClick xmlns:r="http://schemas.openxmlformats.org/officeDocument/2006/relationships" r:id="rId3" tooltip="Go To Master Index"/>
        </xdr:cNvPr>
        <xdr:cNvPicPr>
          <a:picLocks noChangeAspect="1" noChangeArrowheads="1"/>
        </xdr:cNvPicPr>
      </xdr:nvPicPr>
      <xdr:blipFill>
        <a:blip xmlns:r="http://schemas.openxmlformats.org/officeDocument/2006/relationships" r:embed="rId4" cstate="print"/>
        <a:srcRect/>
        <a:stretch>
          <a:fillRect/>
        </a:stretch>
      </xdr:blipFill>
      <xdr:spPr bwMode="auto">
        <a:xfrm>
          <a:off x="85725" y="314325"/>
          <a:ext cx="895350" cy="228600"/>
        </a:xfrm>
        <a:prstGeom prst="rect">
          <a:avLst/>
        </a:prstGeom>
        <a:noFill/>
        <a:ln w="9525">
          <a:noFill/>
          <a:miter lim="800000"/>
          <a:headEnd/>
          <a:tailEnd/>
        </a:ln>
      </xdr:spPr>
    </xdr:pic>
    <xdr:clientData fPrintsWithSheet="0"/>
  </xdr:twoCellAnchor>
  <xdr:twoCellAnchor editAs="absolute">
    <xdr:from>
      <xdr:col>0</xdr:col>
      <xdr:colOff>85725</xdr:colOff>
      <xdr:row>3</xdr:row>
      <xdr:rowOff>85725</xdr:rowOff>
    </xdr:from>
    <xdr:to>
      <xdr:col>1</xdr:col>
      <xdr:colOff>142875</xdr:colOff>
      <xdr:row>4</xdr:row>
      <xdr:rowOff>152400</xdr:rowOff>
    </xdr:to>
    <xdr:pic>
      <xdr:nvPicPr>
        <xdr:cNvPr id="74838" name="Picture 3">
          <a:hlinkClick xmlns:r="http://schemas.openxmlformats.org/officeDocument/2006/relationships" r:id="rId5" tooltip="Go To Weights Menu"/>
        </xdr:cNvPr>
        <xdr:cNvPicPr>
          <a:picLocks noChangeAspect="1" noChangeArrowheads="1"/>
        </xdr:cNvPicPr>
      </xdr:nvPicPr>
      <xdr:blipFill>
        <a:blip xmlns:r="http://schemas.openxmlformats.org/officeDocument/2006/relationships" r:embed="rId6" cstate="print"/>
        <a:srcRect/>
        <a:stretch>
          <a:fillRect/>
        </a:stretch>
      </xdr:blipFill>
      <xdr:spPr bwMode="auto">
        <a:xfrm>
          <a:off x="85725" y="571500"/>
          <a:ext cx="895350" cy="228600"/>
        </a:xfrm>
        <a:prstGeom prst="rect">
          <a:avLst/>
        </a:prstGeom>
        <a:noFill/>
        <a:ln w="9525">
          <a:noFill/>
          <a:miter lim="800000"/>
          <a:headEnd/>
          <a:tailEnd/>
        </a:ln>
      </xdr:spPr>
    </xdr:pic>
    <xdr:clientData fPrintsWithSheet="0"/>
  </xdr:twoCellAnchor>
  <xdr:twoCellAnchor editAs="absolute">
    <xdr:from>
      <xdr:col>0</xdr:col>
      <xdr:colOff>85725</xdr:colOff>
      <xdr:row>4</xdr:row>
      <xdr:rowOff>152400</xdr:rowOff>
    </xdr:from>
    <xdr:to>
      <xdr:col>1</xdr:col>
      <xdr:colOff>142875</xdr:colOff>
      <xdr:row>6</xdr:row>
      <xdr:rowOff>57150</xdr:rowOff>
    </xdr:to>
    <xdr:pic>
      <xdr:nvPicPr>
        <xdr:cNvPr id="74839" name="Picture 4">
          <a:hlinkClick xmlns:r="http://schemas.openxmlformats.org/officeDocument/2006/relationships" r:id="rId7" tooltip="Go To Tensions Menu"/>
        </xdr:cNvPr>
        <xdr:cNvPicPr>
          <a:picLocks noChangeAspect="1" noChangeArrowheads="1"/>
        </xdr:cNvPicPr>
      </xdr:nvPicPr>
      <xdr:blipFill>
        <a:blip xmlns:r="http://schemas.openxmlformats.org/officeDocument/2006/relationships" r:embed="rId8" cstate="print"/>
        <a:srcRect/>
        <a:stretch>
          <a:fillRect/>
        </a:stretch>
      </xdr:blipFill>
      <xdr:spPr bwMode="auto">
        <a:xfrm>
          <a:off x="85725" y="800100"/>
          <a:ext cx="895350" cy="228600"/>
        </a:xfrm>
        <a:prstGeom prst="rect">
          <a:avLst/>
        </a:prstGeom>
        <a:noFill/>
        <a:ln w="9525">
          <a:noFill/>
          <a:miter lim="800000"/>
          <a:headEnd/>
          <a:tailEnd/>
        </a:ln>
      </xdr:spPr>
    </xdr:pic>
    <xdr:clientData fPrintsWithSheet="0"/>
  </xdr:twoCellAnchor>
  <xdr:twoCellAnchor editAs="absolute">
    <xdr:from>
      <xdr:col>0</xdr:col>
      <xdr:colOff>85725</xdr:colOff>
      <xdr:row>6</xdr:row>
      <xdr:rowOff>57150</xdr:rowOff>
    </xdr:from>
    <xdr:to>
      <xdr:col>1</xdr:col>
      <xdr:colOff>142875</xdr:colOff>
      <xdr:row>7</xdr:row>
      <xdr:rowOff>123825</xdr:rowOff>
    </xdr:to>
    <xdr:pic>
      <xdr:nvPicPr>
        <xdr:cNvPr id="74840" name="Picture 5">
          <a:hlinkClick xmlns:r="http://schemas.openxmlformats.org/officeDocument/2006/relationships" r:id="rId9" tooltip="Go To Equipment Menu"/>
        </xdr:cNvPr>
        <xdr:cNvPicPr>
          <a:picLocks noChangeAspect="1" noChangeArrowheads="1"/>
        </xdr:cNvPicPr>
      </xdr:nvPicPr>
      <xdr:blipFill>
        <a:blip xmlns:r="http://schemas.openxmlformats.org/officeDocument/2006/relationships" r:embed="rId10" cstate="print"/>
        <a:srcRect/>
        <a:stretch>
          <a:fillRect/>
        </a:stretch>
      </xdr:blipFill>
      <xdr:spPr bwMode="auto">
        <a:xfrm>
          <a:off x="85725" y="1028700"/>
          <a:ext cx="895350" cy="228600"/>
        </a:xfrm>
        <a:prstGeom prst="rect">
          <a:avLst/>
        </a:prstGeom>
        <a:noFill/>
        <a:ln w="9525">
          <a:noFill/>
          <a:miter lim="800000"/>
          <a:headEnd/>
          <a:tailEnd/>
        </a:ln>
      </xdr:spPr>
    </xdr:pic>
    <xdr:clientData fPrintsWithSheet="0"/>
  </xdr:twoCellAnchor>
  <xdr:twoCellAnchor editAs="absolute">
    <xdr:from>
      <xdr:col>0</xdr:col>
      <xdr:colOff>133350</xdr:colOff>
      <xdr:row>7</xdr:row>
      <xdr:rowOff>142875</xdr:rowOff>
    </xdr:from>
    <xdr:to>
      <xdr:col>0</xdr:col>
      <xdr:colOff>361950</xdr:colOff>
      <xdr:row>9</xdr:row>
      <xdr:rowOff>47625</xdr:rowOff>
    </xdr:to>
    <xdr:pic>
      <xdr:nvPicPr>
        <xdr:cNvPr id="74841" name="Picture 6" descr="Code Information">
          <a:hlinkClick xmlns:r="http://schemas.openxmlformats.org/officeDocument/2006/relationships" r:id="rId11" tooltip="Code Information"/>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33350" y="1276350"/>
          <a:ext cx="228600" cy="228600"/>
        </a:xfrm>
        <a:prstGeom prst="rect">
          <a:avLst/>
        </a:prstGeom>
        <a:noFill/>
        <a:ln w="9525">
          <a:noFill/>
          <a:miter lim="800000"/>
          <a:headEnd/>
          <a:tailEnd/>
        </a:ln>
      </xdr:spPr>
    </xdr:pic>
    <xdr:clientData/>
  </xdr:twoCellAnchor>
  <xdr:twoCellAnchor editAs="oneCell">
    <xdr:from>
      <xdr:col>1</xdr:col>
      <xdr:colOff>47625</xdr:colOff>
      <xdr:row>7</xdr:row>
      <xdr:rowOff>142875</xdr:rowOff>
    </xdr:from>
    <xdr:to>
      <xdr:col>1</xdr:col>
      <xdr:colOff>276225</xdr:colOff>
      <xdr:row>9</xdr:row>
      <xdr:rowOff>47625</xdr:rowOff>
    </xdr:to>
    <xdr:pic>
      <xdr:nvPicPr>
        <xdr:cNvPr id="74842" name="Picture 8" descr="star">
          <a:hlinkClick xmlns:r="http://schemas.openxmlformats.org/officeDocument/2006/relationships" r:id="rId13" tooltip="Conversions"/>
        </xdr:cNvPr>
        <xdr:cNvPicPr>
          <a:picLocks noChangeAspect="1" noChangeArrowheads="1"/>
        </xdr:cNvPicPr>
      </xdr:nvPicPr>
      <xdr:blipFill>
        <a:blip xmlns:r="http://schemas.openxmlformats.org/officeDocument/2006/relationships" r:embed="rId14" cstate="print"/>
        <a:srcRect/>
        <a:stretch>
          <a:fillRect/>
        </a:stretch>
      </xdr:blipFill>
      <xdr:spPr bwMode="auto">
        <a:xfrm>
          <a:off x="885825" y="1276350"/>
          <a:ext cx="228600" cy="228600"/>
        </a:xfrm>
        <a:prstGeom prst="rect">
          <a:avLst/>
        </a:prstGeom>
        <a:noFill/>
        <a:ln w="9525">
          <a:noFill/>
          <a:miter lim="800000"/>
          <a:headEnd/>
          <a:tailEnd/>
        </a:ln>
      </xdr:spPr>
    </xdr:pic>
    <xdr:clientData/>
  </xdr:twoCellAnchor>
  <xdr:twoCellAnchor>
    <xdr:from>
      <xdr:col>2</xdr:col>
      <xdr:colOff>0</xdr:colOff>
      <xdr:row>0</xdr:row>
      <xdr:rowOff>104775</xdr:rowOff>
    </xdr:from>
    <xdr:to>
      <xdr:col>13</xdr:col>
      <xdr:colOff>114300</xdr:colOff>
      <xdr:row>12</xdr:row>
      <xdr:rowOff>95250</xdr:rowOff>
    </xdr:to>
    <xdr:sp macro="" textlink="">
      <xdr:nvSpPr>
        <xdr:cNvPr id="74761" name="Text Box 9"/>
        <xdr:cNvSpPr txBox="1">
          <a:spLocks noChangeArrowheads="1"/>
        </xdr:cNvSpPr>
      </xdr:nvSpPr>
      <xdr:spPr bwMode="auto">
        <a:xfrm>
          <a:off x="1304925" y="104775"/>
          <a:ext cx="6819900" cy="193357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GB" sz="1100" b="1" i="0" u="none" strike="noStrike" baseline="0">
              <a:solidFill>
                <a:srgbClr val="000000"/>
              </a:solidFill>
              <a:latin typeface="Arial"/>
              <a:cs typeface="Arial"/>
            </a:rPr>
            <a:t>Disclaimer:</a:t>
          </a:r>
          <a:endParaRPr lang="en-GB" sz="800" b="0" i="0" u="none" strike="noStrike" baseline="0">
            <a:solidFill>
              <a:srgbClr val="000000"/>
            </a:solidFill>
            <a:latin typeface="Arial"/>
            <a:cs typeface="Arial"/>
          </a:endParaRPr>
        </a:p>
        <a:p>
          <a:pPr algn="l" rtl="0">
            <a:defRPr sz="1000"/>
          </a:pPr>
          <a:r>
            <a:rPr lang="en-GB" sz="1000" b="1" i="0" u="none" strike="noStrike" baseline="0">
              <a:solidFill>
                <a:srgbClr val="0000FF"/>
              </a:solidFill>
              <a:latin typeface="Arial"/>
              <a:cs typeface="Arial"/>
            </a:rPr>
            <a:t>This software is licensed “as-is” and the user assumes all risks when using it. </a:t>
          </a: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Although great care has been taken in the compilation and preparation of this work to ensure accuracy, ACRA Enterprises, Inc. (the publisher) and Jerry Klinke (the author)cannot accept responsibility for any errors or omissions and makes no guarantees of any kind.  The information contained in this application was obtained from sources believed to be reliable at the time this publication was written.  The content contained within this software application is provided for information purposes only and does not constitute a legal contract between the author and any person or entity. The publisher and author make no representation or guarantee as to the correctness or sufficiency of any information contained herein, nor a guarantee of results based upon the use of this information, and disclaims all warranties whether implied, express or statutory, including without limitation, implied warranties of merchantability, fitness for use and fitness for a particular purpose. You assume the entire risk as to the use of this information, and the publisher and the author assumes no liability in connection with the information contained in this software application.</a:t>
          </a:r>
        </a:p>
        <a:p>
          <a:pPr algn="l" rtl="0">
            <a:defRPr sz="1000"/>
          </a:pPr>
          <a:r>
            <a:rPr lang="en-GB" sz="800" b="0" i="0" u="none" strike="noStrike" baseline="0">
              <a:solidFill>
                <a:srgbClr val="000000"/>
              </a:solidFill>
              <a:latin typeface="Arial"/>
              <a:cs typeface="Arial"/>
            </a:rPr>
            <a:t>If expert assistance is required, the services of a certified professional should be sought.</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 2006 ACRA Enterprises, Inc. All rights reserved.</a:t>
          </a:r>
        </a:p>
      </xdr:txBody>
    </xdr:sp>
    <xdr:clientData/>
  </xdr:twoCellAnchor>
  <xdr:twoCellAnchor editAs="oneCell">
    <xdr:from>
      <xdr:col>2</xdr:col>
      <xdr:colOff>9525</xdr:colOff>
      <xdr:row>17</xdr:row>
      <xdr:rowOff>19050</xdr:rowOff>
    </xdr:from>
    <xdr:to>
      <xdr:col>10</xdr:col>
      <xdr:colOff>342900</xdr:colOff>
      <xdr:row>28</xdr:row>
      <xdr:rowOff>123825</xdr:rowOff>
    </xdr:to>
    <xdr:pic>
      <xdr:nvPicPr>
        <xdr:cNvPr id="74844" name="Picture 10"/>
        <xdr:cNvPicPr>
          <a:picLocks noChangeAspect="1" noChangeArrowheads="1"/>
        </xdr:cNvPicPr>
      </xdr:nvPicPr>
      <xdr:blipFill>
        <a:blip xmlns:r="http://schemas.openxmlformats.org/officeDocument/2006/relationships" r:embed="rId15" cstate="print"/>
        <a:srcRect/>
        <a:stretch>
          <a:fillRect/>
        </a:stretch>
      </xdr:blipFill>
      <xdr:spPr bwMode="auto">
        <a:xfrm>
          <a:off x="1314450" y="3133725"/>
          <a:ext cx="5210175" cy="1924050"/>
        </a:xfrm>
        <a:prstGeom prst="rect">
          <a:avLst/>
        </a:prstGeom>
        <a:noFill/>
        <a:ln w="9525">
          <a:noFill/>
          <a:miter lim="800000"/>
          <a:headEnd/>
          <a:tailEnd/>
        </a:ln>
      </xdr:spPr>
    </xdr:pic>
    <xdr:clientData/>
  </xdr:twoCellAnchor>
  <xdr:twoCellAnchor editAs="oneCell">
    <xdr:from>
      <xdr:col>2</xdr:col>
      <xdr:colOff>19050</xdr:colOff>
      <xdr:row>30</xdr:row>
      <xdr:rowOff>133350</xdr:rowOff>
    </xdr:from>
    <xdr:to>
      <xdr:col>6</xdr:col>
      <xdr:colOff>247650</xdr:colOff>
      <xdr:row>44</xdr:row>
      <xdr:rowOff>142875</xdr:rowOff>
    </xdr:to>
    <xdr:pic>
      <xdr:nvPicPr>
        <xdr:cNvPr id="74845" name="Picture 12"/>
        <xdr:cNvPicPr>
          <a:picLocks noChangeAspect="1" noChangeArrowheads="1"/>
        </xdr:cNvPicPr>
      </xdr:nvPicPr>
      <xdr:blipFill>
        <a:blip xmlns:r="http://schemas.openxmlformats.org/officeDocument/2006/relationships" r:embed="rId16" cstate="print"/>
        <a:srcRect/>
        <a:stretch>
          <a:fillRect/>
        </a:stretch>
      </xdr:blipFill>
      <xdr:spPr bwMode="auto">
        <a:xfrm>
          <a:off x="1323975" y="5429250"/>
          <a:ext cx="2667000" cy="2276475"/>
        </a:xfrm>
        <a:prstGeom prst="rect">
          <a:avLst/>
        </a:prstGeom>
        <a:noFill/>
        <a:ln w="9525">
          <a:noFill/>
          <a:miter lim="800000"/>
          <a:headEnd/>
          <a:tailEnd/>
        </a:ln>
      </xdr:spPr>
    </xdr:pic>
    <xdr:clientData/>
  </xdr:twoCellAnchor>
  <xdr:twoCellAnchor editAs="oneCell">
    <xdr:from>
      <xdr:col>8</xdr:col>
      <xdr:colOff>371475</xdr:colOff>
      <xdr:row>13</xdr:row>
      <xdr:rowOff>38100</xdr:rowOff>
    </xdr:from>
    <xdr:to>
      <xdr:col>13</xdr:col>
      <xdr:colOff>133350</xdr:colOff>
      <xdr:row>16</xdr:row>
      <xdr:rowOff>28575</xdr:rowOff>
    </xdr:to>
    <xdr:sp macro="" textlink="">
      <xdr:nvSpPr>
        <xdr:cNvPr id="74765" name="Text 4"/>
        <xdr:cNvSpPr>
          <a:spLocks noChangeArrowheads="1"/>
        </xdr:cNvSpPr>
      </xdr:nvSpPr>
      <xdr:spPr bwMode="auto">
        <a:xfrm>
          <a:off x="5334000" y="2143125"/>
          <a:ext cx="2809875" cy="80010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en-GB" sz="1000" b="1" i="0" u="none" strike="noStrike" baseline="0">
              <a:solidFill>
                <a:srgbClr val="FF0000"/>
              </a:solidFill>
              <a:latin typeface="Arial"/>
              <a:cs typeface="Arial"/>
            </a:rPr>
            <a:t>All calculations must be verified by a qualified person, final approval and decision for use of any rigging is the responsibility of the qualified person.</a:t>
          </a:r>
        </a:p>
      </xdr:txBody>
    </xdr:sp>
    <xdr:clientData/>
  </xdr:twoCellAnchor>
  <xdr:twoCellAnchor>
    <xdr:from>
      <xdr:col>7</xdr:col>
      <xdr:colOff>285750</xdr:colOff>
      <xdr:row>27</xdr:row>
      <xdr:rowOff>38100</xdr:rowOff>
    </xdr:from>
    <xdr:to>
      <xdr:col>13</xdr:col>
      <xdr:colOff>180975</xdr:colOff>
      <xdr:row>46</xdr:row>
      <xdr:rowOff>19050</xdr:rowOff>
    </xdr:to>
    <xdr:sp macro="" textlink="" fLocksText="0">
      <xdr:nvSpPr>
        <xdr:cNvPr id="74767" name="Text Box 15"/>
        <xdr:cNvSpPr txBox="1">
          <a:spLocks noChangeArrowheads="1"/>
        </xdr:cNvSpPr>
      </xdr:nvSpPr>
      <xdr:spPr bwMode="auto">
        <a:xfrm>
          <a:off x="4638675" y="4810125"/>
          <a:ext cx="3552825" cy="30956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Arial"/>
              <a:cs typeface="Arial"/>
            </a:rPr>
            <a:t>The program was based on the: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RIGGING HANDBOOK</a:t>
          </a:r>
        </a:p>
        <a:p>
          <a:pPr algn="l" rtl="0">
            <a:defRPr sz="1000"/>
          </a:pPr>
          <a:r>
            <a:rPr lang="en-GB" sz="1000" b="1" i="0" u="none" strike="noStrike" baseline="0">
              <a:solidFill>
                <a:srgbClr val="000000"/>
              </a:solidFill>
              <a:latin typeface="Arial"/>
              <a:cs typeface="Arial"/>
            </a:rPr>
            <a:t>©2003, ISBN 1-888724-08-0 </a:t>
          </a:r>
        </a:p>
      </xdr:txBody>
    </xdr:sp>
    <xdr:clientData/>
  </xdr:twoCellAnchor>
  <xdr:twoCellAnchor>
    <xdr:from>
      <xdr:col>0</xdr:col>
      <xdr:colOff>266700</xdr:colOff>
      <xdr:row>48</xdr:row>
      <xdr:rowOff>28575</xdr:rowOff>
    </xdr:from>
    <xdr:to>
      <xdr:col>11</xdr:col>
      <xdr:colOff>171450</xdr:colOff>
      <xdr:row>76</xdr:row>
      <xdr:rowOff>66675</xdr:rowOff>
    </xdr:to>
    <xdr:sp macro="" textlink="" fLocksText="0">
      <xdr:nvSpPr>
        <xdr:cNvPr id="74768" name="Text 4"/>
        <xdr:cNvSpPr>
          <a:spLocks noChangeArrowheads="1"/>
        </xdr:cNvSpPr>
      </xdr:nvSpPr>
      <xdr:spPr bwMode="auto">
        <a:xfrm>
          <a:off x="266700" y="8239125"/>
          <a:ext cx="6696075" cy="4572000"/>
        </a:xfrm>
        <a:prstGeom prst="roundRect">
          <a:avLst>
            <a:gd name="adj" fmla="val 16667"/>
          </a:avLst>
        </a:prstGeom>
        <a:solidFill>
          <a:srgbClr val="FFFFFF"/>
        </a:solidFill>
        <a:ln w="17145">
          <a:solidFill>
            <a:srgbClr val="000000"/>
          </a:solidFill>
          <a:round/>
          <a:headEnd/>
          <a:tailEnd/>
        </a:ln>
        <a:effectLst>
          <a:outerShdw dist="35921" dir="2700000" algn="ctr" rotWithShape="0">
            <a:srgbClr val="000000"/>
          </a:outerShdw>
        </a:effectLst>
      </xdr:spPr>
      <xdr:txBody>
        <a:bodyPr vertOverflow="clip" wrap="square" lIns="27432" tIns="27432" rIns="0" bIns="0" anchor="t" upright="1"/>
        <a:lstStyle/>
        <a:p>
          <a:pPr algn="l" rtl="0">
            <a:defRPr sz="1000"/>
          </a:pPr>
          <a:r>
            <a:rPr lang="en-GB" sz="1100" b="1" i="0" u="none" strike="noStrike" baseline="0">
              <a:solidFill>
                <a:srgbClr val="000000"/>
              </a:solidFill>
              <a:latin typeface="Arial"/>
              <a:cs typeface="Arial"/>
            </a:rPr>
            <a:t>LIFTCALC, ©Copyright 1996-2006 ACRA Enterprises, Inc., All Rights Reserved..</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You should carefully read the following terms and conditions before using this software.  Your use of this software indicates your acceptance of this license agreement.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Registered Version</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One registered copy of LIFTCALC may either be used by a single person who uses the software personally on one or more computers, or installed on a single workstation used non-simultaneously by multiple people, but not both.</a:t>
          </a:r>
        </a:p>
        <a:p>
          <a:pPr algn="l" rtl="0">
            <a:defRPr sz="1000"/>
          </a:pPr>
          <a:r>
            <a:rPr lang="en-GB" sz="1000" b="0" i="0" u="none" strike="noStrike" baseline="0">
              <a:solidFill>
                <a:srgbClr val="000000"/>
              </a:solidFill>
              <a:latin typeface="Arial"/>
              <a:cs typeface="Arial"/>
            </a:rPr>
            <a:t>You may access the registered version of LIFTCALC through a network, provided that you have obtained individual licenses for the software covering all workstations that will access the software through the network.  For instance, if 8 different workstations will access LIFTCALC on the network, each workstation must have its own LIFTCALC license, regardless of whether they use LIFTCALC at different times or concurrently. Multi-user Licenses are available.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Governing Law</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agreement shall be governed by the laws of the State of Michigan, United States of America.</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Disclaimer of Warranty</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SOFTWARE AND THE ACCOMPANYING FILES ARE SOLD "AS IS" AND WITHOUT WARRANTIES AS TO PERFORMANCE OF MERCHANTABILITY OR ANY OTHER WARRANTIES WHETHER EXPRESSED OR IMPLIED. Because of the various hardware and software environments into which LIFTCALC may be put, NO WARRANTY OF FITNESS FOR A PARTICULAR PURPOSE IS OFFERED. The user must assume the entire risk of using the program.  </a:t>
          </a: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xdr:txBody>
    </xdr:sp>
    <xdr:clientData/>
  </xdr:twoCellAnchor>
  <xdr:twoCellAnchor>
    <xdr:from>
      <xdr:col>0</xdr:col>
      <xdr:colOff>200025</xdr:colOff>
      <xdr:row>81</xdr:row>
      <xdr:rowOff>38100</xdr:rowOff>
    </xdr:from>
    <xdr:to>
      <xdr:col>11</xdr:col>
      <xdr:colOff>104775</xdr:colOff>
      <xdr:row>135</xdr:row>
      <xdr:rowOff>28575</xdr:rowOff>
    </xdr:to>
    <xdr:sp macro="" textlink="" fLocksText="0">
      <xdr:nvSpPr>
        <xdr:cNvPr id="74769" name="Text 4"/>
        <xdr:cNvSpPr>
          <a:spLocks noChangeArrowheads="1"/>
        </xdr:cNvSpPr>
      </xdr:nvSpPr>
      <xdr:spPr bwMode="auto">
        <a:xfrm>
          <a:off x="200025" y="13592175"/>
          <a:ext cx="6696075" cy="8734425"/>
        </a:xfrm>
        <a:prstGeom prst="roundRect">
          <a:avLst>
            <a:gd name="adj" fmla="val 16667"/>
          </a:avLst>
        </a:prstGeom>
        <a:solidFill>
          <a:srgbClr val="FFFFFF"/>
        </a:solidFill>
        <a:ln w="17145">
          <a:solidFill>
            <a:srgbClr val="000000"/>
          </a:solidFill>
          <a:round/>
          <a:headEnd/>
          <a:tailEnd/>
        </a:ln>
        <a:effectLst>
          <a:outerShdw dist="35921" dir="2700000" algn="ctr" rotWithShape="0">
            <a:srgbClr val="000000"/>
          </a:outerShdw>
        </a:effectLst>
      </xdr:spPr>
      <xdr:txBody>
        <a:bodyPr vertOverflow="clip" wrap="square" lIns="27432" tIns="22860" rIns="0" bIns="0" anchor="t" upright="1"/>
        <a:lstStyle/>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WHAT IS LIFTCALC?</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LIFTCALC is an EXCEL spreadsheet that was created to assist individuals that are involved with planning maintenance activities that will require rigging and lifting of equipment.  It is </a:t>
          </a:r>
          <a:r>
            <a:rPr lang="en-GB" sz="1000" b="1" i="0" u="none" strike="noStrike" baseline="0">
              <a:solidFill>
                <a:srgbClr val="FF0000"/>
              </a:solidFill>
              <a:latin typeface="Arial"/>
              <a:cs typeface="Arial"/>
            </a:rPr>
            <a:t>NOT</a:t>
          </a:r>
          <a:r>
            <a:rPr lang="en-GB" sz="1000" b="0" i="0" u="none" strike="noStrike" baseline="0">
              <a:solidFill>
                <a:srgbClr val="000000"/>
              </a:solidFill>
              <a:latin typeface="Arial"/>
              <a:cs typeface="Arial"/>
            </a:rPr>
            <a:t> intended to supersede any equipment manufacturers instructions, plant procedures, or regulatory requirements.  It is </a:t>
          </a:r>
          <a:r>
            <a:rPr lang="en-GB" sz="1000" b="1" i="0" u="none" strike="noStrike" baseline="0">
              <a:solidFill>
                <a:srgbClr val="FF0000"/>
              </a:solidFill>
              <a:latin typeface="Arial"/>
              <a:cs typeface="Arial"/>
            </a:rPr>
            <a:t>NOT</a:t>
          </a:r>
          <a:r>
            <a:rPr lang="en-GB" sz="1000" b="0" i="0" u="none" strike="noStrike" baseline="0">
              <a:solidFill>
                <a:srgbClr val="000000"/>
              </a:solidFill>
              <a:latin typeface="Arial"/>
              <a:cs typeface="Arial"/>
            </a:rPr>
            <a:t> intended to replace sound engineering evaluations and calculations. </a:t>
          </a:r>
          <a:r>
            <a:rPr lang="en-GB" sz="1100" b="1" i="0" u="none" strike="noStrike" baseline="0">
              <a:solidFill>
                <a:srgbClr val="FF0000"/>
              </a:solidFill>
              <a:latin typeface="Arial"/>
              <a:cs typeface="Arial"/>
            </a:rPr>
            <a:t>All calculations must be verified by a qualified person.</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single most important rigging precaution is to determine the weight of a load before attempting to lift it, making ample allowances for unknown factors, and determining the available capacity of the equipment being used.  It is equally important to rig the load so that it is stable, and the center of gravity is below the hook.  The safety of personnel involved in rigging and hoisting operations largely depends upon care and common sense.  Remember these safe practices:</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FF"/>
              </a:solidFill>
              <a:latin typeface="Arial"/>
              <a:cs typeface="Arial"/>
            </a:rPr>
            <a:t>1.) Know the working load limit (WLL) of the equipment being used.  NEVER exceed this limit.</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FF"/>
              </a:solidFill>
              <a:latin typeface="Arial"/>
              <a:cs typeface="Arial"/>
            </a:rPr>
            <a:t>2.) Determine the load weight before selecting rigging equipment. Don't attempt to lift a load that has an undetermined weight.</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FF"/>
              </a:solidFill>
              <a:latin typeface="Arial"/>
              <a:cs typeface="Arial"/>
            </a:rPr>
            <a:t>3.) The WLL of all rigging equipment appies only to freely-suspended loads on plumb hoist lines.</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FF"/>
              </a:solidFill>
              <a:latin typeface="Arial"/>
              <a:cs typeface="Arial"/>
            </a:rPr>
            <a:t>4.) Sharp bends with slings must be avoided.  Corner pads or softeners shall always be used.</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BASIC VOLUME and WEIGHTS</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section performs simple computations on some typical shapes, and provides a list of materials to choose the corresponding weight for.</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ESTIMATING WEIGHTS OF EQUIPMENT</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section will provide an "ESTIMATE" of equipment.  The manufacturer should always be consulted for the exact weight, but if this is not possible then this calculation will provide a weight that is conservatively "HIGH" for safety considerations.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RATED CAPACITY OF RIGGING COMPONENTS</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WLL listed have been taken from OSHA, ANSI B30.9 and manufacturers ratings.  They are assumed correct, but always check the ratings listed on the actual equipment whenever possible.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SLING ANGLES and REDUCTION in SWL's.</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whole topic is probably the most misunderstood area of safe rigging and hoisting.  Rigging equipment is rated for VERTICAL lifting, whenever any angles are involved the WLL of the equipment is reduced!  </a:t>
          </a:r>
          <a:r>
            <a:rPr lang="en-GB" sz="1000" b="1" i="1" u="none" strike="noStrike" baseline="0">
              <a:solidFill>
                <a:srgbClr val="000000"/>
              </a:solidFill>
              <a:latin typeface="Arial"/>
              <a:cs typeface="Arial"/>
            </a:rPr>
            <a:t>The situations in the tension sections should, if nothing else, make the user aware of the inherent DANGERS involved with angular rigging.</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xdr:txBody>
    </xdr:sp>
    <xdr:clientData/>
  </xdr:twoCellAnchor>
  <xdr:twoCellAnchor editAs="oneCell">
    <xdr:from>
      <xdr:col>10</xdr:col>
      <xdr:colOff>457200</xdr:colOff>
      <xdr:row>30</xdr:row>
      <xdr:rowOff>152400</xdr:rowOff>
    </xdr:from>
    <xdr:to>
      <xdr:col>12</xdr:col>
      <xdr:colOff>571500</xdr:colOff>
      <xdr:row>45</xdr:row>
      <xdr:rowOff>28575</xdr:rowOff>
    </xdr:to>
    <xdr:pic>
      <xdr:nvPicPr>
        <xdr:cNvPr id="74850" name="Picture 14" descr="1888724080"/>
        <xdr:cNvPicPr>
          <a:picLocks noChangeAspect="1" noChangeArrowheads="1"/>
        </xdr:cNvPicPr>
      </xdr:nvPicPr>
      <xdr:blipFill>
        <a:blip xmlns:r="http://schemas.openxmlformats.org/officeDocument/2006/relationships" r:embed="rId17" cstate="print"/>
        <a:srcRect/>
        <a:stretch>
          <a:fillRect/>
        </a:stretch>
      </xdr:blipFill>
      <xdr:spPr bwMode="auto">
        <a:xfrm>
          <a:off x="6638925" y="5448300"/>
          <a:ext cx="1333500" cy="2305050"/>
        </a:xfrm>
        <a:prstGeom prst="rect">
          <a:avLst/>
        </a:prstGeom>
        <a:noFill/>
        <a:ln w="9525">
          <a:noFill/>
          <a:miter lim="800000"/>
          <a:headEnd/>
          <a:tailEnd/>
        </a:ln>
      </xdr:spPr>
    </xdr:pic>
    <xdr:clientData/>
  </xdr:twoCellAnchor>
  <xdr:twoCellAnchor>
    <xdr:from>
      <xdr:col>1</xdr:col>
      <xdr:colOff>123825</xdr:colOff>
      <xdr:row>19</xdr:row>
      <xdr:rowOff>114300</xdr:rowOff>
    </xdr:from>
    <xdr:to>
      <xdr:col>1</xdr:col>
      <xdr:colOff>123825</xdr:colOff>
      <xdr:row>27</xdr:row>
      <xdr:rowOff>57150</xdr:rowOff>
    </xdr:to>
    <xdr:sp macro="" textlink="">
      <xdr:nvSpPr>
        <xdr:cNvPr id="74851" name="Line 18"/>
        <xdr:cNvSpPr>
          <a:spLocks noChangeShapeType="1"/>
        </xdr:cNvSpPr>
      </xdr:nvSpPr>
      <xdr:spPr bwMode="auto">
        <a:xfrm>
          <a:off x="962025" y="3552825"/>
          <a:ext cx="0" cy="1276350"/>
        </a:xfrm>
        <a:prstGeom prst="line">
          <a:avLst/>
        </a:prstGeom>
        <a:noFill/>
        <a:ln w="28575">
          <a:solidFill>
            <a:srgbClr val="000000"/>
          </a:solidFill>
          <a:round/>
          <a:headEnd/>
          <a:tailEnd type="arrow" w="lg" len="lg"/>
        </a:ln>
      </xdr:spPr>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200025</xdr:colOff>
      <xdr:row>4</xdr:row>
      <xdr:rowOff>19050</xdr:rowOff>
    </xdr:from>
    <xdr:to>
      <xdr:col>11</xdr:col>
      <xdr:colOff>209550</xdr:colOff>
      <xdr:row>17</xdr:row>
      <xdr:rowOff>85725</xdr:rowOff>
    </xdr:to>
    <xdr:pic>
      <xdr:nvPicPr>
        <xdr:cNvPr id="12361"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2085975" y="733425"/>
          <a:ext cx="5067300" cy="2590800"/>
        </a:xfrm>
        <a:prstGeom prst="rect">
          <a:avLst/>
        </a:prstGeom>
        <a:noFill/>
        <a:ln w="9525">
          <a:noFill/>
          <a:miter lim="800000"/>
          <a:headEnd/>
          <a:tailEnd/>
        </a:ln>
      </xdr:spPr>
    </xdr:pic>
    <xdr:clientData/>
  </xdr:twoCellAnchor>
  <xdr:twoCellAnchor editAs="absolute">
    <xdr:from>
      <xdr:col>6</xdr:col>
      <xdr:colOff>0</xdr:colOff>
      <xdr:row>16</xdr:row>
      <xdr:rowOff>190500</xdr:rowOff>
    </xdr:from>
    <xdr:to>
      <xdr:col>11</xdr:col>
      <xdr:colOff>66675</xdr:colOff>
      <xdr:row>22</xdr:row>
      <xdr:rowOff>95250</xdr:rowOff>
    </xdr:to>
    <xdr:sp macro="" textlink="">
      <xdr:nvSpPr>
        <xdr:cNvPr id="12302" name="Text 11"/>
        <xdr:cNvSpPr>
          <a:spLocks noChangeArrowheads="1"/>
        </xdr:cNvSpPr>
      </xdr:nvSpPr>
      <xdr:spPr bwMode="auto">
        <a:xfrm>
          <a:off x="3619500" y="3219450"/>
          <a:ext cx="3390900" cy="106680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en-GB" sz="1000" b="1" i="0" u="none" strike="noStrike" baseline="0">
              <a:solidFill>
                <a:srgbClr val="FF0000"/>
              </a:solidFill>
              <a:latin typeface="Arial"/>
              <a:cs typeface="Arial"/>
            </a:rPr>
            <a:t>NOTE:</a:t>
          </a:r>
          <a:r>
            <a:rPr lang="en-GB" sz="1000" b="0" i="0" u="none" strike="noStrike" baseline="0">
              <a:solidFill>
                <a:srgbClr val="000000"/>
              </a:solidFill>
              <a:latin typeface="Arial"/>
              <a:cs typeface="Arial"/>
            </a:rPr>
            <a:t> </a:t>
          </a:r>
          <a:r>
            <a:rPr lang="en-GB" sz="1000" b="0" i="0" u="none" strike="noStrike" baseline="0">
              <a:solidFill>
                <a:srgbClr val="0000FF"/>
              </a:solidFill>
              <a:latin typeface="Arial"/>
              <a:cs typeface="Arial"/>
            </a:rPr>
            <a:t>This will provide an ESTIMATE of what the U/H casing should weigh.  This will be on the conservative "high" side and is intended to help in determining the proper rigging equipment to be used.</a:t>
          </a:r>
        </a:p>
        <a:p>
          <a:pPr algn="l" rtl="0">
            <a:defRPr sz="1000"/>
          </a:pPr>
          <a:r>
            <a:rPr lang="en-GB" sz="1000" b="0" i="0" u="none" strike="noStrike" baseline="0">
              <a:solidFill>
                <a:srgbClr val="0000FF"/>
              </a:solidFill>
              <a:latin typeface="Arial"/>
              <a:cs typeface="Arial"/>
            </a:rPr>
            <a:t>Contact the original equipment manufacturer for the accurate weight of this type of equipment. </a:t>
          </a:r>
        </a:p>
      </xdr:txBody>
    </xdr:sp>
    <xdr:clientData/>
  </xdr:twoCellAnchor>
  <xdr:twoCellAnchor editAs="absolute">
    <xdr:from>
      <xdr:col>0</xdr:col>
      <xdr:colOff>57150</xdr:colOff>
      <xdr:row>0</xdr:row>
      <xdr:rowOff>47625</xdr:rowOff>
    </xdr:from>
    <xdr:to>
      <xdr:col>1</xdr:col>
      <xdr:colOff>752475</xdr:colOff>
      <xdr:row>1</xdr:row>
      <xdr:rowOff>114300</xdr:rowOff>
    </xdr:to>
    <xdr:pic>
      <xdr:nvPicPr>
        <xdr:cNvPr id="12363" name="Picture 20">
          <a:hlinkClick xmlns:r="http://schemas.openxmlformats.org/officeDocument/2006/relationships" r:id="rId2" tooltip="Return to Main Menu"/>
        </xdr:cNvPr>
        <xdr:cNvPicPr>
          <a:picLocks noChangeAspect="1" noChangeArrowheads="1"/>
        </xdr:cNvPicPr>
      </xdr:nvPicPr>
      <xdr:blipFill>
        <a:blip xmlns:r="http://schemas.openxmlformats.org/officeDocument/2006/relationships" r:embed="rId3" cstate="print"/>
        <a:srcRect/>
        <a:stretch>
          <a:fillRect/>
        </a:stretch>
      </xdr:blipFill>
      <xdr:spPr bwMode="auto">
        <a:xfrm>
          <a:off x="57150" y="47625"/>
          <a:ext cx="895350" cy="228600"/>
        </a:xfrm>
        <a:prstGeom prst="rect">
          <a:avLst/>
        </a:prstGeom>
        <a:noFill/>
        <a:ln w="9525">
          <a:noFill/>
          <a:miter lim="800000"/>
          <a:headEnd/>
          <a:tailEnd/>
        </a:ln>
      </xdr:spPr>
    </xdr:pic>
    <xdr:clientData fPrintsWithSheet="0"/>
  </xdr:twoCellAnchor>
  <xdr:twoCellAnchor editAs="absolute">
    <xdr:from>
      <xdr:col>0</xdr:col>
      <xdr:colOff>57150</xdr:colOff>
      <xdr:row>1</xdr:row>
      <xdr:rowOff>123825</xdr:rowOff>
    </xdr:from>
    <xdr:to>
      <xdr:col>1</xdr:col>
      <xdr:colOff>752475</xdr:colOff>
      <xdr:row>3</xdr:row>
      <xdr:rowOff>28575</xdr:rowOff>
    </xdr:to>
    <xdr:pic>
      <xdr:nvPicPr>
        <xdr:cNvPr id="12364" name="Picture 21">
          <a:hlinkClick xmlns:r="http://schemas.openxmlformats.org/officeDocument/2006/relationships" r:id="rId4" tooltip="Go To Master Index"/>
        </xdr:cNvPr>
        <xdr:cNvPicPr>
          <a:picLocks noChangeAspect="1" noChangeArrowheads="1"/>
        </xdr:cNvPicPr>
      </xdr:nvPicPr>
      <xdr:blipFill>
        <a:blip xmlns:r="http://schemas.openxmlformats.org/officeDocument/2006/relationships" r:embed="rId5" cstate="print"/>
        <a:srcRect/>
        <a:stretch>
          <a:fillRect/>
        </a:stretch>
      </xdr:blipFill>
      <xdr:spPr bwMode="auto">
        <a:xfrm>
          <a:off x="57150" y="285750"/>
          <a:ext cx="895350" cy="228600"/>
        </a:xfrm>
        <a:prstGeom prst="rect">
          <a:avLst/>
        </a:prstGeom>
        <a:noFill/>
        <a:ln w="9525">
          <a:noFill/>
          <a:miter lim="800000"/>
          <a:headEnd/>
          <a:tailEnd/>
        </a:ln>
      </xdr:spPr>
    </xdr:pic>
    <xdr:clientData fPrintsWithSheet="0"/>
  </xdr:twoCellAnchor>
  <xdr:twoCellAnchor editAs="absolute">
    <xdr:from>
      <xdr:col>0</xdr:col>
      <xdr:colOff>57150</xdr:colOff>
      <xdr:row>3</xdr:row>
      <xdr:rowOff>57150</xdr:rowOff>
    </xdr:from>
    <xdr:to>
      <xdr:col>1</xdr:col>
      <xdr:colOff>752475</xdr:colOff>
      <xdr:row>4</xdr:row>
      <xdr:rowOff>57150</xdr:rowOff>
    </xdr:to>
    <xdr:pic>
      <xdr:nvPicPr>
        <xdr:cNvPr id="12365" name="Picture 22">
          <a:hlinkClick xmlns:r="http://schemas.openxmlformats.org/officeDocument/2006/relationships" r:id="rId6" tooltip="Go To Weights Menu"/>
        </xdr:cNvPr>
        <xdr:cNvPicPr>
          <a:picLocks noChangeAspect="1" noChangeArrowheads="1"/>
        </xdr:cNvPicPr>
      </xdr:nvPicPr>
      <xdr:blipFill>
        <a:blip xmlns:r="http://schemas.openxmlformats.org/officeDocument/2006/relationships" r:embed="rId7" cstate="print"/>
        <a:srcRect/>
        <a:stretch>
          <a:fillRect/>
        </a:stretch>
      </xdr:blipFill>
      <xdr:spPr bwMode="auto">
        <a:xfrm>
          <a:off x="57150" y="542925"/>
          <a:ext cx="895350" cy="228600"/>
        </a:xfrm>
        <a:prstGeom prst="rect">
          <a:avLst/>
        </a:prstGeom>
        <a:noFill/>
        <a:ln w="9525">
          <a:noFill/>
          <a:miter lim="800000"/>
          <a:headEnd/>
          <a:tailEnd/>
        </a:ln>
      </xdr:spPr>
    </xdr:pic>
    <xdr:clientData fPrintsWithSheet="0"/>
  </xdr:twoCellAnchor>
  <xdr:twoCellAnchor editAs="absolute">
    <xdr:from>
      <xdr:col>0</xdr:col>
      <xdr:colOff>57150</xdr:colOff>
      <xdr:row>4</xdr:row>
      <xdr:rowOff>57150</xdr:rowOff>
    </xdr:from>
    <xdr:to>
      <xdr:col>1</xdr:col>
      <xdr:colOff>752475</xdr:colOff>
      <xdr:row>5</xdr:row>
      <xdr:rowOff>123825</xdr:rowOff>
    </xdr:to>
    <xdr:pic>
      <xdr:nvPicPr>
        <xdr:cNvPr id="12366" name="Picture 23">
          <a:hlinkClick xmlns:r="http://schemas.openxmlformats.org/officeDocument/2006/relationships" r:id="rId8" tooltip="Go To Tension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57150" y="771525"/>
          <a:ext cx="895350" cy="228600"/>
        </a:xfrm>
        <a:prstGeom prst="rect">
          <a:avLst/>
        </a:prstGeom>
        <a:noFill/>
        <a:ln w="9525">
          <a:noFill/>
          <a:miter lim="800000"/>
          <a:headEnd/>
          <a:tailEnd/>
        </a:ln>
      </xdr:spPr>
    </xdr:pic>
    <xdr:clientData fPrintsWithSheet="0"/>
  </xdr:twoCellAnchor>
  <xdr:twoCellAnchor editAs="absolute">
    <xdr:from>
      <xdr:col>0</xdr:col>
      <xdr:colOff>57150</xdr:colOff>
      <xdr:row>5</xdr:row>
      <xdr:rowOff>123825</xdr:rowOff>
    </xdr:from>
    <xdr:to>
      <xdr:col>1</xdr:col>
      <xdr:colOff>752475</xdr:colOff>
      <xdr:row>7</xdr:row>
      <xdr:rowOff>28575</xdr:rowOff>
    </xdr:to>
    <xdr:pic>
      <xdr:nvPicPr>
        <xdr:cNvPr id="12367" name="Picture 24">
          <a:hlinkClick xmlns:r="http://schemas.openxmlformats.org/officeDocument/2006/relationships" r:id="rId10" tooltip="Go To Equipment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7150" y="1000125"/>
          <a:ext cx="895350" cy="228600"/>
        </a:xfrm>
        <a:prstGeom prst="rect">
          <a:avLst/>
        </a:prstGeom>
        <a:noFill/>
        <a:ln w="9525">
          <a:noFill/>
          <a:miter lim="800000"/>
          <a:headEnd/>
          <a:tailEnd/>
        </a:ln>
      </xdr:spPr>
    </xdr:pic>
    <xdr:clientData fPrintsWithSheet="0"/>
  </xdr:twoCellAnchor>
  <xdr:twoCellAnchor editAs="absolute">
    <xdr:from>
      <xdr:col>0</xdr:col>
      <xdr:colOff>114300</xdr:colOff>
      <xdr:row>7</xdr:row>
      <xdr:rowOff>66675</xdr:rowOff>
    </xdr:from>
    <xdr:to>
      <xdr:col>1</xdr:col>
      <xdr:colOff>142875</xdr:colOff>
      <xdr:row>8</xdr:row>
      <xdr:rowOff>133350</xdr:rowOff>
    </xdr:to>
    <xdr:pic>
      <xdr:nvPicPr>
        <xdr:cNvPr id="12368" name="Picture 25" descr="Code Information">
          <a:hlinkClick xmlns:r="http://schemas.openxmlformats.org/officeDocument/2006/relationships" r:id="rId12" tooltip="Code Information"/>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14300" y="1266825"/>
          <a:ext cx="228600" cy="228600"/>
        </a:xfrm>
        <a:prstGeom prst="rect">
          <a:avLst/>
        </a:prstGeom>
        <a:noFill/>
        <a:ln w="9525">
          <a:noFill/>
          <a:miter lim="800000"/>
          <a:headEnd/>
          <a:tailEnd/>
        </a:ln>
      </xdr:spPr>
    </xdr:pic>
    <xdr:clientData fPrintsWithSheet="0"/>
  </xdr:twoCellAnchor>
  <xdr:twoCellAnchor editAs="absolute">
    <xdr:from>
      <xdr:col>1</xdr:col>
      <xdr:colOff>171450</xdr:colOff>
      <xdr:row>7</xdr:row>
      <xdr:rowOff>66675</xdr:rowOff>
    </xdr:from>
    <xdr:to>
      <xdr:col>1</xdr:col>
      <xdr:colOff>400050</xdr:colOff>
      <xdr:row>8</xdr:row>
      <xdr:rowOff>133350</xdr:rowOff>
    </xdr:to>
    <xdr:pic>
      <xdr:nvPicPr>
        <xdr:cNvPr id="12369" name="Picture 26" descr="help">
          <a:hlinkClick xmlns:r="http://schemas.openxmlformats.org/officeDocument/2006/relationships" r:id="rId14" tooltip="Help"/>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71475" y="1266825"/>
          <a:ext cx="228600" cy="228600"/>
        </a:xfrm>
        <a:prstGeom prst="rect">
          <a:avLst/>
        </a:prstGeom>
        <a:noFill/>
        <a:ln w="9525">
          <a:noFill/>
          <a:miter lim="800000"/>
          <a:headEnd/>
          <a:tailEnd/>
        </a:ln>
      </xdr:spPr>
    </xdr:pic>
    <xdr:clientData fPrintsWithSheet="0"/>
  </xdr:twoCellAnchor>
  <xdr:twoCellAnchor editAs="absolute">
    <xdr:from>
      <xdr:col>1</xdr:col>
      <xdr:colOff>438150</xdr:colOff>
      <xdr:row>7</xdr:row>
      <xdr:rowOff>66675</xdr:rowOff>
    </xdr:from>
    <xdr:to>
      <xdr:col>1</xdr:col>
      <xdr:colOff>666750</xdr:colOff>
      <xdr:row>8</xdr:row>
      <xdr:rowOff>133350</xdr:rowOff>
    </xdr:to>
    <xdr:pic>
      <xdr:nvPicPr>
        <xdr:cNvPr id="12370" name="Picture 27" descr="star">
          <a:hlinkClick xmlns:r="http://schemas.openxmlformats.org/officeDocument/2006/relationships" r:id="rId16" tooltip="Conversions"/>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38175" y="1266825"/>
          <a:ext cx="228600" cy="228600"/>
        </a:xfrm>
        <a:prstGeom prst="rect">
          <a:avLst/>
        </a:prstGeom>
        <a:noFill/>
        <a:ln w="9525">
          <a:noFill/>
          <a:miter lim="800000"/>
          <a:headEnd/>
          <a:tailEnd/>
        </a:ln>
      </xdr:spPr>
    </xdr:pic>
    <xdr:clientData fPrintsWithSheet="0"/>
  </xdr:twoCellAnchor>
  <xdr:twoCellAnchor editAs="oneCell">
    <xdr:from>
      <xdr:col>4</xdr:col>
      <xdr:colOff>19050</xdr:colOff>
      <xdr:row>0</xdr:row>
      <xdr:rowOff>47625</xdr:rowOff>
    </xdr:from>
    <xdr:to>
      <xdr:col>9</xdr:col>
      <xdr:colOff>9525</xdr:colOff>
      <xdr:row>2</xdr:row>
      <xdr:rowOff>76200</xdr:rowOff>
    </xdr:to>
    <xdr:sp macro="" textlink="">
      <xdr:nvSpPr>
        <xdr:cNvPr id="12316" name="Text 4"/>
        <xdr:cNvSpPr>
          <a:spLocks noChangeArrowheads="1"/>
        </xdr:cNvSpPr>
      </xdr:nvSpPr>
      <xdr:spPr bwMode="auto">
        <a:xfrm>
          <a:off x="2266950" y="47625"/>
          <a:ext cx="3467100" cy="3524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en-GB" sz="1000" b="1" i="0" u="none" strike="noStrike" baseline="0">
              <a:solidFill>
                <a:srgbClr val="FF0000"/>
              </a:solidFill>
              <a:latin typeface="Arial"/>
              <a:cs typeface="Arial"/>
            </a:rPr>
            <a:t>All calculations must be verified by a qualified person.</a:t>
          </a:r>
        </a:p>
      </xdr:txBody>
    </xdr:sp>
    <xdr:clientData/>
  </xdr:twoCellAnchor>
  <mc:AlternateContent xmlns:mc="http://schemas.openxmlformats.org/markup-compatibility/2006">
    <mc:Choice xmlns:a14="http://schemas.microsoft.com/office/drawing/2010/main" Requires="a14">
      <xdr:twoCellAnchor editAs="oneCell">
        <xdr:from>
          <xdr:col>2</xdr:col>
          <xdr:colOff>57150</xdr:colOff>
          <xdr:row>20</xdr:row>
          <xdr:rowOff>142875</xdr:rowOff>
        </xdr:from>
        <xdr:to>
          <xdr:col>3</xdr:col>
          <xdr:colOff>228600</xdr:colOff>
          <xdr:row>22</xdr:row>
          <xdr:rowOff>28575</xdr:rowOff>
        </xdr:to>
        <xdr:sp macro="" textlink="">
          <xdr:nvSpPr>
            <xdr:cNvPr id="12296" name="Drop Down 8" hidden="1">
              <a:extLst>
                <a:ext uri="{63B3BB69-23CF-44E3-9099-C40C66FF867C}">
                  <a14:compatExt spid="_x0000_s12296"/>
                </a:ext>
              </a:extLst>
            </xdr:cNvPr>
            <xdr:cNvSpPr/>
          </xdr:nvSpPr>
          <xdr:spPr>
            <a:xfrm>
              <a:off x="0" y="0"/>
              <a:ext cx="0" cy="0"/>
            </a:xfrm>
            <a:prstGeom prst="rect">
              <a:avLst/>
            </a:prstGeom>
          </xdr:spPr>
        </xdr:sp>
        <xdr:clientData fLocksWithSheet="0"/>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4</xdr:col>
      <xdr:colOff>266700</xdr:colOff>
      <xdr:row>5</xdr:row>
      <xdr:rowOff>133350</xdr:rowOff>
    </xdr:from>
    <xdr:to>
      <xdr:col>8</xdr:col>
      <xdr:colOff>209550</xdr:colOff>
      <xdr:row>10</xdr:row>
      <xdr:rowOff>133350</xdr:rowOff>
    </xdr:to>
    <xdr:pic>
      <xdr:nvPicPr>
        <xdr:cNvPr id="56381"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3733800" y="1085850"/>
          <a:ext cx="1466850" cy="809625"/>
        </a:xfrm>
        <a:prstGeom prst="rect">
          <a:avLst/>
        </a:prstGeom>
        <a:noFill/>
        <a:ln w="9525">
          <a:noFill/>
          <a:miter lim="800000"/>
          <a:headEnd/>
          <a:tailEnd/>
        </a:ln>
      </xdr:spPr>
    </xdr:pic>
    <xdr:clientData/>
  </xdr:twoCellAnchor>
  <xdr:twoCellAnchor editAs="absolute">
    <xdr:from>
      <xdr:col>0</xdr:col>
      <xdr:colOff>57150</xdr:colOff>
      <xdr:row>0</xdr:row>
      <xdr:rowOff>47625</xdr:rowOff>
    </xdr:from>
    <xdr:to>
      <xdr:col>0</xdr:col>
      <xdr:colOff>952500</xdr:colOff>
      <xdr:row>1</xdr:row>
      <xdr:rowOff>114300</xdr:rowOff>
    </xdr:to>
    <xdr:pic>
      <xdr:nvPicPr>
        <xdr:cNvPr id="56382" name="Picture 12">
          <a:hlinkClick xmlns:r="http://schemas.openxmlformats.org/officeDocument/2006/relationships" r:id="rId2" tooltip="Return to Main Menu"/>
        </xdr:cNvPr>
        <xdr:cNvPicPr>
          <a:picLocks noChangeAspect="1" noChangeArrowheads="1"/>
        </xdr:cNvPicPr>
      </xdr:nvPicPr>
      <xdr:blipFill>
        <a:blip xmlns:r="http://schemas.openxmlformats.org/officeDocument/2006/relationships" r:embed="rId3" cstate="print"/>
        <a:srcRect/>
        <a:stretch>
          <a:fillRect/>
        </a:stretch>
      </xdr:blipFill>
      <xdr:spPr bwMode="auto">
        <a:xfrm>
          <a:off x="57150" y="47625"/>
          <a:ext cx="895350" cy="228600"/>
        </a:xfrm>
        <a:prstGeom prst="rect">
          <a:avLst/>
        </a:prstGeom>
        <a:noFill/>
        <a:ln w="9525">
          <a:noFill/>
          <a:miter lim="800000"/>
          <a:headEnd/>
          <a:tailEnd/>
        </a:ln>
      </xdr:spPr>
    </xdr:pic>
    <xdr:clientData fPrintsWithSheet="0"/>
  </xdr:twoCellAnchor>
  <xdr:twoCellAnchor editAs="absolute">
    <xdr:from>
      <xdr:col>0</xdr:col>
      <xdr:colOff>57150</xdr:colOff>
      <xdr:row>1</xdr:row>
      <xdr:rowOff>123825</xdr:rowOff>
    </xdr:from>
    <xdr:to>
      <xdr:col>0</xdr:col>
      <xdr:colOff>952500</xdr:colOff>
      <xdr:row>2</xdr:row>
      <xdr:rowOff>123825</xdr:rowOff>
    </xdr:to>
    <xdr:pic>
      <xdr:nvPicPr>
        <xdr:cNvPr id="56383" name="Picture 13">
          <a:hlinkClick xmlns:r="http://schemas.openxmlformats.org/officeDocument/2006/relationships" r:id="rId4" tooltip="Go To Master Index"/>
        </xdr:cNvPr>
        <xdr:cNvPicPr>
          <a:picLocks noChangeAspect="1" noChangeArrowheads="1"/>
        </xdr:cNvPicPr>
      </xdr:nvPicPr>
      <xdr:blipFill>
        <a:blip xmlns:r="http://schemas.openxmlformats.org/officeDocument/2006/relationships" r:embed="rId5" cstate="print"/>
        <a:srcRect/>
        <a:stretch>
          <a:fillRect/>
        </a:stretch>
      </xdr:blipFill>
      <xdr:spPr bwMode="auto">
        <a:xfrm>
          <a:off x="57150" y="285750"/>
          <a:ext cx="895350" cy="228600"/>
        </a:xfrm>
        <a:prstGeom prst="rect">
          <a:avLst/>
        </a:prstGeom>
        <a:noFill/>
        <a:ln w="9525">
          <a:noFill/>
          <a:miter lim="800000"/>
          <a:headEnd/>
          <a:tailEnd/>
        </a:ln>
      </xdr:spPr>
    </xdr:pic>
    <xdr:clientData fPrintsWithSheet="0"/>
  </xdr:twoCellAnchor>
  <xdr:twoCellAnchor editAs="absolute">
    <xdr:from>
      <xdr:col>0</xdr:col>
      <xdr:colOff>57150</xdr:colOff>
      <xdr:row>2</xdr:row>
      <xdr:rowOff>152400</xdr:rowOff>
    </xdr:from>
    <xdr:to>
      <xdr:col>0</xdr:col>
      <xdr:colOff>952500</xdr:colOff>
      <xdr:row>4</xdr:row>
      <xdr:rowOff>28575</xdr:rowOff>
    </xdr:to>
    <xdr:pic>
      <xdr:nvPicPr>
        <xdr:cNvPr id="56384" name="Picture 14">
          <a:hlinkClick xmlns:r="http://schemas.openxmlformats.org/officeDocument/2006/relationships" r:id="rId6" tooltip="Go To Weights Menu"/>
        </xdr:cNvPr>
        <xdr:cNvPicPr>
          <a:picLocks noChangeAspect="1" noChangeArrowheads="1"/>
        </xdr:cNvPicPr>
      </xdr:nvPicPr>
      <xdr:blipFill>
        <a:blip xmlns:r="http://schemas.openxmlformats.org/officeDocument/2006/relationships" r:embed="rId7" cstate="print"/>
        <a:srcRect/>
        <a:stretch>
          <a:fillRect/>
        </a:stretch>
      </xdr:blipFill>
      <xdr:spPr bwMode="auto">
        <a:xfrm>
          <a:off x="57150" y="542925"/>
          <a:ext cx="895350" cy="228600"/>
        </a:xfrm>
        <a:prstGeom prst="rect">
          <a:avLst/>
        </a:prstGeom>
        <a:noFill/>
        <a:ln w="9525">
          <a:noFill/>
          <a:miter lim="800000"/>
          <a:headEnd/>
          <a:tailEnd/>
        </a:ln>
      </xdr:spPr>
    </xdr:pic>
    <xdr:clientData fPrintsWithSheet="0"/>
  </xdr:twoCellAnchor>
  <xdr:twoCellAnchor editAs="absolute">
    <xdr:from>
      <xdr:col>0</xdr:col>
      <xdr:colOff>57150</xdr:colOff>
      <xdr:row>4</xdr:row>
      <xdr:rowOff>28575</xdr:rowOff>
    </xdr:from>
    <xdr:to>
      <xdr:col>0</xdr:col>
      <xdr:colOff>952500</xdr:colOff>
      <xdr:row>5</xdr:row>
      <xdr:rowOff>47625</xdr:rowOff>
    </xdr:to>
    <xdr:pic>
      <xdr:nvPicPr>
        <xdr:cNvPr id="56385" name="Picture 15">
          <a:hlinkClick xmlns:r="http://schemas.openxmlformats.org/officeDocument/2006/relationships" r:id="rId8" tooltip="Go To Tension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57150" y="771525"/>
          <a:ext cx="895350" cy="228600"/>
        </a:xfrm>
        <a:prstGeom prst="rect">
          <a:avLst/>
        </a:prstGeom>
        <a:noFill/>
        <a:ln w="9525">
          <a:noFill/>
          <a:miter lim="800000"/>
          <a:headEnd/>
          <a:tailEnd/>
        </a:ln>
      </xdr:spPr>
    </xdr:pic>
    <xdr:clientData fPrintsWithSheet="0"/>
  </xdr:twoCellAnchor>
  <xdr:twoCellAnchor editAs="absolute">
    <xdr:from>
      <xdr:col>0</xdr:col>
      <xdr:colOff>57150</xdr:colOff>
      <xdr:row>5</xdr:row>
      <xdr:rowOff>47625</xdr:rowOff>
    </xdr:from>
    <xdr:to>
      <xdr:col>0</xdr:col>
      <xdr:colOff>952500</xdr:colOff>
      <xdr:row>6</xdr:row>
      <xdr:rowOff>114300</xdr:rowOff>
    </xdr:to>
    <xdr:pic>
      <xdr:nvPicPr>
        <xdr:cNvPr id="56386" name="Picture 16">
          <a:hlinkClick xmlns:r="http://schemas.openxmlformats.org/officeDocument/2006/relationships" r:id="rId10" tooltip="Go To Equipment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7150" y="1000125"/>
          <a:ext cx="895350" cy="228600"/>
        </a:xfrm>
        <a:prstGeom prst="rect">
          <a:avLst/>
        </a:prstGeom>
        <a:noFill/>
        <a:ln w="9525">
          <a:noFill/>
          <a:miter lim="800000"/>
          <a:headEnd/>
          <a:tailEnd/>
        </a:ln>
      </xdr:spPr>
    </xdr:pic>
    <xdr:clientData fPrintsWithSheet="0"/>
  </xdr:twoCellAnchor>
  <xdr:twoCellAnchor editAs="absolute">
    <xdr:from>
      <xdr:col>0</xdr:col>
      <xdr:colOff>104775</xdr:colOff>
      <xdr:row>6</xdr:row>
      <xdr:rowOff>152400</xdr:rowOff>
    </xdr:from>
    <xdr:to>
      <xdr:col>0</xdr:col>
      <xdr:colOff>333375</xdr:colOff>
      <xdr:row>8</xdr:row>
      <xdr:rowOff>57150</xdr:rowOff>
    </xdr:to>
    <xdr:pic>
      <xdr:nvPicPr>
        <xdr:cNvPr id="56387" name="Picture 17" descr="Code Information">
          <a:hlinkClick xmlns:r="http://schemas.openxmlformats.org/officeDocument/2006/relationships" r:id="rId12" tooltip="Code Information"/>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04775" y="1266825"/>
          <a:ext cx="228600" cy="228600"/>
        </a:xfrm>
        <a:prstGeom prst="rect">
          <a:avLst/>
        </a:prstGeom>
        <a:noFill/>
        <a:ln w="9525">
          <a:noFill/>
          <a:miter lim="800000"/>
          <a:headEnd/>
          <a:tailEnd/>
        </a:ln>
      </xdr:spPr>
    </xdr:pic>
    <xdr:clientData fPrintsWithSheet="0"/>
  </xdr:twoCellAnchor>
  <xdr:twoCellAnchor editAs="absolute">
    <xdr:from>
      <xdr:col>0</xdr:col>
      <xdr:colOff>361950</xdr:colOff>
      <xdr:row>6</xdr:row>
      <xdr:rowOff>152400</xdr:rowOff>
    </xdr:from>
    <xdr:to>
      <xdr:col>0</xdr:col>
      <xdr:colOff>590550</xdr:colOff>
      <xdr:row>8</xdr:row>
      <xdr:rowOff>57150</xdr:rowOff>
    </xdr:to>
    <xdr:pic>
      <xdr:nvPicPr>
        <xdr:cNvPr id="56388" name="Picture 18" descr="help">
          <a:hlinkClick xmlns:r="http://schemas.openxmlformats.org/officeDocument/2006/relationships" r:id="rId14" tooltip="Help"/>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61950" y="1266825"/>
          <a:ext cx="228600" cy="228600"/>
        </a:xfrm>
        <a:prstGeom prst="rect">
          <a:avLst/>
        </a:prstGeom>
        <a:noFill/>
        <a:ln w="9525">
          <a:noFill/>
          <a:miter lim="800000"/>
          <a:headEnd/>
          <a:tailEnd/>
        </a:ln>
      </xdr:spPr>
    </xdr:pic>
    <xdr:clientData fPrintsWithSheet="0"/>
  </xdr:twoCellAnchor>
  <xdr:twoCellAnchor editAs="absolute">
    <xdr:from>
      <xdr:col>0</xdr:col>
      <xdr:colOff>628650</xdr:colOff>
      <xdr:row>6</xdr:row>
      <xdr:rowOff>152400</xdr:rowOff>
    </xdr:from>
    <xdr:to>
      <xdr:col>0</xdr:col>
      <xdr:colOff>857250</xdr:colOff>
      <xdr:row>8</xdr:row>
      <xdr:rowOff>57150</xdr:rowOff>
    </xdr:to>
    <xdr:pic>
      <xdr:nvPicPr>
        <xdr:cNvPr id="56389" name="Picture 19" descr="star">
          <a:hlinkClick xmlns:r="http://schemas.openxmlformats.org/officeDocument/2006/relationships" r:id="rId16" tooltip="Conversions"/>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28650" y="1266825"/>
          <a:ext cx="228600" cy="228600"/>
        </a:xfrm>
        <a:prstGeom prst="rect">
          <a:avLst/>
        </a:prstGeom>
        <a:noFill/>
        <a:ln w="9525">
          <a:noFill/>
          <a:miter lim="800000"/>
          <a:headEnd/>
          <a:tailEnd/>
        </a:ln>
      </xdr:spPr>
    </xdr:pic>
    <xdr:clientData fPrintsWithSheet="0"/>
  </xdr:twoCellAnchor>
  <xdr:twoCellAnchor editAs="oneCell">
    <xdr:from>
      <xdr:col>2</xdr:col>
      <xdr:colOff>238125</xdr:colOff>
      <xdr:row>30</xdr:row>
      <xdr:rowOff>28575</xdr:rowOff>
    </xdr:from>
    <xdr:to>
      <xdr:col>7</xdr:col>
      <xdr:colOff>76200</xdr:colOff>
      <xdr:row>32</xdr:row>
      <xdr:rowOff>57150</xdr:rowOff>
    </xdr:to>
    <xdr:sp macro="" textlink="">
      <xdr:nvSpPr>
        <xdr:cNvPr id="56340" name="Text 4"/>
        <xdr:cNvSpPr>
          <a:spLocks noChangeArrowheads="1"/>
        </xdr:cNvSpPr>
      </xdr:nvSpPr>
      <xdr:spPr bwMode="auto">
        <a:xfrm>
          <a:off x="1485900" y="5105400"/>
          <a:ext cx="3467100" cy="3524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en-GB" sz="1000" b="1" i="0" u="none" strike="noStrike" baseline="0">
              <a:solidFill>
                <a:srgbClr val="FF0000"/>
              </a:solidFill>
              <a:latin typeface="Arial"/>
              <a:cs typeface="Arial"/>
            </a:rPr>
            <a:t>All calculations must be verified by a qualified person.</a:t>
          </a:r>
        </a:p>
      </xdr:txBody>
    </xdr:sp>
    <xdr:clientData/>
  </xdr:twoCellAnchor>
  <mc:AlternateContent xmlns:mc="http://schemas.openxmlformats.org/markup-compatibility/2006">
    <mc:Choice xmlns:a14="http://schemas.microsoft.com/office/drawing/2010/main" Requires="a14">
      <xdr:twoCellAnchor editAs="oneCell">
        <xdr:from>
          <xdr:col>4</xdr:col>
          <xdr:colOff>9525</xdr:colOff>
          <xdr:row>3</xdr:row>
          <xdr:rowOff>180975</xdr:rowOff>
        </xdr:from>
        <xdr:to>
          <xdr:col>8</xdr:col>
          <xdr:colOff>238125</xdr:colOff>
          <xdr:row>4</xdr:row>
          <xdr:rowOff>200025</xdr:rowOff>
        </xdr:to>
        <xdr:sp macro="" textlink="">
          <xdr:nvSpPr>
            <xdr:cNvPr id="56321" name="Drop Down 1" hidden="1">
              <a:extLst>
                <a:ext uri="{63B3BB69-23CF-44E3-9099-C40C66FF867C}">
                  <a14:compatExt spid="_x0000_s56321"/>
                </a:ext>
              </a:extLst>
            </xdr:cNvPr>
            <xdr:cNvSpPr/>
          </xdr:nvSpPr>
          <xdr:spPr>
            <a:xfrm>
              <a:off x="0" y="0"/>
              <a:ext cx="0" cy="0"/>
            </a:xfrm>
            <a:prstGeom prst="rect">
              <a:avLst/>
            </a:prstGeom>
          </xdr:spPr>
        </xdr:sp>
        <xdr:clientData fLocksWithSheet="0"/>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1</xdr:col>
      <xdr:colOff>228600</xdr:colOff>
      <xdr:row>6</xdr:row>
      <xdr:rowOff>152400</xdr:rowOff>
    </xdr:from>
    <xdr:to>
      <xdr:col>3</xdr:col>
      <xdr:colOff>381000</xdr:colOff>
      <xdr:row>8</xdr:row>
      <xdr:rowOff>66675</xdr:rowOff>
    </xdr:to>
    <xdr:sp macro="" textlink="">
      <xdr:nvSpPr>
        <xdr:cNvPr id="60420" name="Text Box 4"/>
        <xdr:cNvSpPr txBox="1">
          <a:spLocks noChangeArrowheads="1"/>
        </xdr:cNvSpPr>
      </xdr:nvSpPr>
      <xdr:spPr bwMode="auto">
        <a:xfrm>
          <a:off x="1171575" y="1333500"/>
          <a:ext cx="2324100" cy="276225"/>
        </a:xfrm>
        <a:prstGeom prst="rect">
          <a:avLst/>
        </a:prstGeom>
        <a:solidFill>
          <a:srgbClr val="FFFF00"/>
        </a:solidFill>
        <a:ln w="9525">
          <a:noFill/>
          <a:miter lim="800000"/>
          <a:headEnd/>
          <a:tailEnd/>
        </a:ln>
      </xdr:spPr>
      <xdr:txBody>
        <a:bodyPr vertOverflow="clip" wrap="square" lIns="27432" tIns="22860" rIns="0" bIns="22860" anchor="ctr" upright="1"/>
        <a:lstStyle/>
        <a:p>
          <a:pPr algn="l" rtl="0">
            <a:defRPr sz="1000"/>
          </a:pPr>
          <a:r>
            <a:rPr lang="en-GB" sz="1000" b="1" i="0" u="none" strike="noStrike" baseline="0">
              <a:solidFill>
                <a:srgbClr val="000000"/>
              </a:solidFill>
              <a:latin typeface="Arial"/>
              <a:cs typeface="Arial"/>
            </a:rPr>
            <a:t>  I-Beam Size </a:t>
          </a:r>
          <a:r>
            <a:rPr lang="en-GB" sz="1000" b="1" i="0" u="none" strike="noStrike" baseline="0">
              <a:solidFill>
                <a:srgbClr val="000000"/>
              </a:solidFill>
              <a:latin typeface="Wingdings"/>
            </a:rPr>
            <a:t>èè</a:t>
          </a:r>
        </a:p>
      </xdr:txBody>
    </xdr:sp>
    <xdr:clientData/>
  </xdr:twoCellAnchor>
  <xdr:twoCellAnchor editAs="oneCell">
    <xdr:from>
      <xdr:col>4</xdr:col>
      <xdr:colOff>133350</xdr:colOff>
      <xdr:row>7</xdr:row>
      <xdr:rowOff>47625</xdr:rowOff>
    </xdr:from>
    <xdr:to>
      <xdr:col>9</xdr:col>
      <xdr:colOff>9525</xdr:colOff>
      <xdr:row>27</xdr:row>
      <xdr:rowOff>85725</xdr:rowOff>
    </xdr:to>
    <xdr:pic>
      <xdr:nvPicPr>
        <xdr:cNvPr id="6047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57625" y="1428750"/>
          <a:ext cx="2819400" cy="3429000"/>
        </a:xfrm>
        <a:prstGeom prst="rect">
          <a:avLst/>
        </a:prstGeom>
        <a:noFill/>
        <a:ln w="9525">
          <a:noFill/>
          <a:miter lim="800000"/>
          <a:headEnd/>
          <a:tailEnd/>
        </a:ln>
      </xdr:spPr>
    </xdr:pic>
    <xdr:clientData/>
  </xdr:twoCellAnchor>
  <xdr:twoCellAnchor>
    <xdr:from>
      <xdr:col>4</xdr:col>
      <xdr:colOff>47625</xdr:colOff>
      <xdr:row>0</xdr:row>
      <xdr:rowOff>38100</xdr:rowOff>
    </xdr:from>
    <xdr:to>
      <xdr:col>10</xdr:col>
      <xdr:colOff>514350</xdr:colOff>
      <xdr:row>5</xdr:row>
      <xdr:rowOff>123825</xdr:rowOff>
    </xdr:to>
    <xdr:sp macro="" textlink="">
      <xdr:nvSpPr>
        <xdr:cNvPr id="60419" name="Text Box 3"/>
        <xdr:cNvSpPr txBox="1">
          <a:spLocks noChangeArrowheads="1"/>
        </xdr:cNvSpPr>
      </xdr:nvSpPr>
      <xdr:spPr bwMode="auto">
        <a:xfrm>
          <a:off x="3771900" y="38100"/>
          <a:ext cx="4019550" cy="990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Arial"/>
              <a:cs typeface="Arial"/>
            </a:rPr>
            <a:t>Steel S-type I-Beams are identified by:</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S DEPTH (inches) × WEIGHT PER UNIT LENGTH (pounds per foot)  </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900" b="0" i="1" u="none" strike="noStrike" baseline="0">
              <a:solidFill>
                <a:srgbClr val="000000"/>
              </a:solidFill>
              <a:latin typeface="Arial"/>
              <a:cs typeface="Arial"/>
            </a:rPr>
            <a:t>For Example: S18 × 54.7 is an I-Beam with a Depth of 18 inches and having a Nominal Weight per Foot of 54.7 lbf/ft.</a:t>
          </a:r>
        </a:p>
      </xdr:txBody>
    </xdr:sp>
    <xdr:clientData/>
  </xdr:twoCellAnchor>
  <xdr:twoCellAnchor editAs="absolute">
    <xdr:from>
      <xdr:col>0</xdr:col>
      <xdr:colOff>57150</xdr:colOff>
      <xdr:row>0</xdr:row>
      <xdr:rowOff>57150</xdr:rowOff>
    </xdr:from>
    <xdr:to>
      <xdr:col>1</xdr:col>
      <xdr:colOff>9525</xdr:colOff>
      <xdr:row>1</xdr:row>
      <xdr:rowOff>123825</xdr:rowOff>
    </xdr:to>
    <xdr:pic>
      <xdr:nvPicPr>
        <xdr:cNvPr id="60481" name="Picture 10">
          <a:hlinkClick xmlns:r="http://schemas.openxmlformats.org/officeDocument/2006/relationships" r:id="rId2" tooltip="Return to Main Menu"/>
        </xdr:cNvPr>
        <xdr:cNvPicPr>
          <a:picLocks noChangeAspect="1" noChangeArrowheads="1"/>
        </xdr:cNvPicPr>
      </xdr:nvPicPr>
      <xdr:blipFill>
        <a:blip xmlns:r="http://schemas.openxmlformats.org/officeDocument/2006/relationships" r:embed="rId3" cstate="print"/>
        <a:srcRect/>
        <a:stretch>
          <a:fillRect/>
        </a:stretch>
      </xdr:blipFill>
      <xdr:spPr bwMode="auto">
        <a:xfrm>
          <a:off x="57150" y="57150"/>
          <a:ext cx="895350" cy="228600"/>
        </a:xfrm>
        <a:prstGeom prst="rect">
          <a:avLst/>
        </a:prstGeom>
        <a:noFill/>
        <a:ln w="9525">
          <a:noFill/>
          <a:miter lim="800000"/>
          <a:headEnd/>
          <a:tailEnd/>
        </a:ln>
      </xdr:spPr>
    </xdr:pic>
    <xdr:clientData fPrintsWithSheet="0"/>
  </xdr:twoCellAnchor>
  <xdr:twoCellAnchor editAs="absolute">
    <xdr:from>
      <xdr:col>0</xdr:col>
      <xdr:colOff>57150</xdr:colOff>
      <xdr:row>1</xdr:row>
      <xdr:rowOff>133350</xdr:rowOff>
    </xdr:from>
    <xdr:to>
      <xdr:col>1</xdr:col>
      <xdr:colOff>9525</xdr:colOff>
      <xdr:row>2</xdr:row>
      <xdr:rowOff>200025</xdr:rowOff>
    </xdr:to>
    <xdr:pic>
      <xdr:nvPicPr>
        <xdr:cNvPr id="60482" name="Picture 11">
          <a:hlinkClick xmlns:r="http://schemas.openxmlformats.org/officeDocument/2006/relationships" r:id="rId4" tooltip="Go To Master Index"/>
        </xdr:cNvPr>
        <xdr:cNvPicPr>
          <a:picLocks noChangeAspect="1" noChangeArrowheads="1"/>
        </xdr:cNvPicPr>
      </xdr:nvPicPr>
      <xdr:blipFill>
        <a:blip xmlns:r="http://schemas.openxmlformats.org/officeDocument/2006/relationships" r:embed="rId5" cstate="print"/>
        <a:srcRect/>
        <a:stretch>
          <a:fillRect/>
        </a:stretch>
      </xdr:blipFill>
      <xdr:spPr bwMode="auto">
        <a:xfrm>
          <a:off x="57150" y="295275"/>
          <a:ext cx="895350" cy="228600"/>
        </a:xfrm>
        <a:prstGeom prst="rect">
          <a:avLst/>
        </a:prstGeom>
        <a:noFill/>
        <a:ln w="9525">
          <a:noFill/>
          <a:miter lim="800000"/>
          <a:headEnd/>
          <a:tailEnd/>
        </a:ln>
      </xdr:spPr>
    </xdr:pic>
    <xdr:clientData fPrintsWithSheet="0"/>
  </xdr:twoCellAnchor>
  <xdr:twoCellAnchor editAs="absolute">
    <xdr:from>
      <xdr:col>0</xdr:col>
      <xdr:colOff>57150</xdr:colOff>
      <xdr:row>2</xdr:row>
      <xdr:rowOff>228600</xdr:rowOff>
    </xdr:from>
    <xdr:to>
      <xdr:col>1</xdr:col>
      <xdr:colOff>9525</xdr:colOff>
      <xdr:row>4</xdr:row>
      <xdr:rowOff>38100</xdr:rowOff>
    </xdr:to>
    <xdr:pic>
      <xdr:nvPicPr>
        <xdr:cNvPr id="60483" name="Picture 12">
          <a:hlinkClick xmlns:r="http://schemas.openxmlformats.org/officeDocument/2006/relationships" r:id="rId6" tooltip="Go To Weights Menu"/>
        </xdr:cNvPr>
        <xdr:cNvPicPr>
          <a:picLocks noChangeAspect="1" noChangeArrowheads="1"/>
        </xdr:cNvPicPr>
      </xdr:nvPicPr>
      <xdr:blipFill>
        <a:blip xmlns:r="http://schemas.openxmlformats.org/officeDocument/2006/relationships" r:embed="rId7" cstate="print"/>
        <a:srcRect/>
        <a:stretch>
          <a:fillRect/>
        </a:stretch>
      </xdr:blipFill>
      <xdr:spPr bwMode="auto">
        <a:xfrm>
          <a:off x="57150" y="552450"/>
          <a:ext cx="895350" cy="228600"/>
        </a:xfrm>
        <a:prstGeom prst="rect">
          <a:avLst/>
        </a:prstGeom>
        <a:noFill/>
        <a:ln w="9525">
          <a:noFill/>
          <a:miter lim="800000"/>
          <a:headEnd/>
          <a:tailEnd/>
        </a:ln>
      </xdr:spPr>
    </xdr:pic>
    <xdr:clientData fPrintsWithSheet="0"/>
  </xdr:twoCellAnchor>
  <xdr:twoCellAnchor editAs="absolute">
    <xdr:from>
      <xdr:col>0</xdr:col>
      <xdr:colOff>57150</xdr:colOff>
      <xdr:row>4</xdr:row>
      <xdr:rowOff>38100</xdr:rowOff>
    </xdr:from>
    <xdr:to>
      <xdr:col>1</xdr:col>
      <xdr:colOff>9525</xdr:colOff>
      <xdr:row>5</xdr:row>
      <xdr:rowOff>104775</xdr:rowOff>
    </xdr:to>
    <xdr:pic>
      <xdr:nvPicPr>
        <xdr:cNvPr id="60484" name="Picture 13">
          <a:hlinkClick xmlns:r="http://schemas.openxmlformats.org/officeDocument/2006/relationships" r:id="rId8" tooltip="Go To Tension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57150" y="781050"/>
          <a:ext cx="895350" cy="228600"/>
        </a:xfrm>
        <a:prstGeom prst="rect">
          <a:avLst/>
        </a:prstGeom>
        <a:noFill/>
        <a:ln w="9525">
          <a:noFill/>
          <a:miter lim="800000"/>
          <a:headEnd/>
          <a:tailEnd/>
        </a:ln>
      </xdr:spPr>
    </xdr:pic>
    <xdr:clientData fPrintsWithSheet="0"/>
  </xdr:twoCellAnchor>
  <xdr:twoCellAnchor editAs="absolute">
    <xdr:from>
      <xdr:col>0</xdr:col>
      <xdr:colOff>57150</xdr:colOff>
      <xdr:row>5</xdr:row>
      <xdr:rowOff>104775</xdr:rowOff>
    </xdr:from>
    <xdr:to>
      <xdr:col>1</xdr:col>
      <xdr:colOff>9525</xdr:colOff>
      <xdr:row>6</xdr:row>
      <xdr:rowOff>57150</xdr:rowOff>
    </xdr:to>
    <xdr:pic>
      <xdr:nvPicPr>
        <xdr:cNvPr id="60485" name="Picture 14">
          <a:hlinkClick xmlns:r="http://schemas.openxmlformats.org/officeDocument/2006/relationships" r:id="rId10" tooltip="Go To Equipment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7150" y="1009650"/>
          <a:ext cx="895350" cy="228600"/>
        </a:xfrm>
        <a:prstGeom prst="rect">
          <a:avLst/>
        </a:prstGeom>
        <a:noFill/>
        <a:ln w="9525">
          <a:noFill/>
          <a:miter lim="800000"/>
          <a:headEnd/>
          <a:tailEnd/>
        </a:ln>
      </xdr:spPr>
    </xdr:pic>
    <xdr:clientData fPrintsWithSheet="0"/>
  </xdr:twoCellAnchor>
  <xdr:twoCellAnchor editAs="absolute">
    <xdr:from>
      <xdr:col>0</xdr:col>
      <xdr:colOff>95250</xdr:colOff>
      <xdr:row>6</xdr:row>
      <xdr:rowOff>104775</xdr:rowOff>
    </xdr:from>
    <xdr:to>
      <xdr:col>0</xdr:col>
      <xdr:colOff>323850</xdr:colOff>
      <xdr:row>7</xdr:row>
      <xdr:rowOff>133350</xdr:rowOff>
    </xdr:to>
    <xdr:pic>
      <xdr:nvPicPr>
        <xdr:cNvPr id="60486" name="Picture 15" descr="Code Information">
          <a:hlinkClick xmlns:r="http://schemas.openxmlformats.org/officeDocument/2006/relationships" r:id="rId12" tooltip="Code Information"/>
        </xdr:cNvPr>
        <xdr:cNvPicPr>
          <a:picLocks noChangeAspect="1" noChangeArrowheads="1"/>
        </xdr:cNvPicPr>
      </xdr:nvPicPr>
      <xdr:blipFill>
        <a:blip xmlns:r="http://schemas.openxmlformats.org/officeDocument/2006/relationships" r:embed="rId13" cstate="print"/>
        <a:srcRect/>
        <a:stretch>
          <a:fillRect/>
        </a:stretch>
      </xdr:blipFill>
      <xdr:spPr bwMode="auto">
        <a:xfrm>
          <a:off x="95250" y="1285875"/>
          <a:ext cx="228600" cy="228600"/>
        </a:xfrm>
        <a:prstGeom prst="rect">
          <a:avLst/>
        </a:prstGeom>
        <a:noFill/>
        <a:ln w="9525">
          <a:noFill/>
          <a:miter lim="800000"/>
          <a:headEnd/>
          <a:tailEnd/>
        </a:ln>
      </xdr:spPr>
    </xdr:pic>
    <xdr:clientData fPrintsWithSheet="0"/>
  </xdr:twoCellAnchor>
  <xdr:twoCellAnchor editAs="absolute">
    <xdr:from>
      <xdr:col>0</xdr:col>
      <xdr:colOff>352425</xdr:colOff>
      <xdr:row>6</xdr:row>
      <xdr:rowOff>104775</xdr:rowOff>
    </xdr:from>
    <xdr:to>
      <xdr:col>0</xdr:col>
      <xdr:colOff>581025</xdr:colOff>
      <xdr:row>7</xdr:row>
      <xdr:rowOff>133350</xdr:rowOff>
    </xdr:to>
    <xdr:pic>
      <xdr:nvPicPr>
        <xdr:cNvPr id="60487" name="Picture 16" descr="help">
          <a:hlinkClick xmlns:r="http://schemas.openxmlformats.org/officeDocument/2006/relationships" r:id="rId14" tooltip="Help"/>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52425" y="1285875"/>
          <a:ext cx="228600" cy="228600"/>
        </a:xfrm>
        <a:prstGeom prst="rect">
          <a:avLst/>
        </a:prstGeom>
        <a:noFill/>
        <a:ln w="9525">
          <a:noFill/>
          <a:miter lim="800000"/>
          <a:headEnd/>
          <a:tailEnd/>
        </a:ln>
      </xdr:spPr>
    </xdr:pic>
    <xdr:clientData fPrintsWithSheet="0"/>
  </xdr:twoCellAnchor>
  <xdr:twoCellAnchor editAs="absolute">
    <xdr:from>
      <xdr:col>0</xdr:col>
      <xdr:colOff>619125</xdr:colOff>
      <xdr:row>6</xdr:row>
      <xdr:rowOff>104775</xdr:rowOff>
    </xdr:from>
    <xdr:to>
      <xdr:col>0</xdr:col>
      <xdr:colOff>847725</xdr:colOff>
      <xdr:row>7</xdr:row>
      <xdr:rowOff>133350</xdr:rowOff>
    </xdr:to>
    <xdr:pic>
      <xdr:nvPicPr>
        <xdr:cNvPr id="60488" name="Picture 17" descr="star">
          <a:hlinkClick xmlns:r="http://schemas.openxmlformats.org/officeDocument/2006/relationships" r:id="rId16" tooltip="Conversions"/>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19125" y="1285875"/>
          <a:ext cx="228600" cy="22860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editAs="oneCell">
        <xdr:from>
          <xdr:col>2</xdr:col>
          <xdr:colOff>19050</xdr:colOff>
          <xdr:row>6</xdr:row>
          <xdr:rowOff>190500</xdr:rowOff>
        </xdr:from>
        <xdr:to>
          <xdr:col>3</xdr:col>
          <xdr:colOff>342900</xdr:colOff>
          <xdr:row>8</xdr:row>
          <xdr:rowOff>28575</xdr:rowOff>
        </xdr:to>
        <xdr:sp macro="" textlink="">
          <xdr:nvSpPr>
            <xdr:cNvPr id="60418" name="Drop Down 2" hidden="1">
              <a:extLst>
                <a:ext uri="{63B3BB69-23CF-44E3-9099-C40C66FF867C}">
                  <a14:compatExt spid="_x0000_s60418"/>
                </a:ext>
              </a:extLst>
            </xdr:cNvPr>
            <xdr:cNvSpPr/>
          </xdr:nvSpPr>
          <xdr:spPr>
            <a:xfrm>
              <a:off x="0" y="0"/>
              <a:ext cx="0" cy="0"/>
            </a:xfrm>
            <a:prstGeom prst="rect">
              <a:avLst/>
            </a:prstGeom>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xdr:col>
      <xdr:colOff>447675</xdr:colOff>
      <xdr:row>6</xdr:row>
      <xdr:rowOff>152400</xdr:rowOff>
    </xdr:from>
    <xdr:to>
      <xdr:col>3</xdr:col>
      <xdr:colOff>400050</xdr:colOff>
      <xdr:row>8</xdr:row>
      <xdr:rowOff>66675</xdr:rowOff>
    </xdr:to>
    <xdr:sp macro="" textlink="">
      <xdr:nvSpPr>
        <xdr:cNvPr id="61446" name="Text Box 6"/>
        <xdr:cNvSpPr txBox="1">
          <a:spLocks noChangeArrowheads="1"/>
        </xdr:cNvSpPr>
      </xdr:nvSpPr>
      <xdr:spPr bwMode="auto">
        <a:xfrm>
          <a:off x="1343025" y="1333500"/>
          <a:ext cx="2324100" cy="276225"/>
        </a:xfrm>
        <a:prstGeom prst="rect">
          <a:avLst/>
        </a:prstGeom>
        <a:solidFill>
          <a:srgbClr val="FFFF00"/>
        </a:solidFill>
        <a:ln w="9525">
          <a:noFill/>
          <a:miter lim="800000"/>
          <a:headEnd/>
          <a:tailEnd/>
        </a:ln>
      </xdr:spPr>
      <xdr:txBody>
        <a:bodyPr vertOverflow="clip" wrap="square" lIns="27432" tIns="22860" rIns="0" bIns="22860" anchor="ctr" upright="1"/>
        <a:lstStyle/>
        <a:p>
          <a:pPr algn="l" rtl="0">
            <a:defRPr sz="1000"/>
          </a:pPr>
          <a:r>
            <a:rPr lang="en-GB" sz="1000" b="1" i="0" u="none" strike="noStrike" baseline="0">
              <a:solidFill>
                <a:srgbClr val="000000"/>
              </a:solidFill>
              <a:latin typeface="Arial"/>
              <a:cs typeface="Arial"/>
            </a:rPr>
            <a:t>  I-Beam Size </a:t>
          </a:r>
          <a:r>
            <a:rPr lang="en-GB" sz="1000" b="1" i="0" u="none" strike="noStrike" baseline="0">
              <a:solidFill>
                <a:srgbClr val="000000"/>
              </a:solidFill>
              <a:latin typeface="Wingdings"/>
            </a:rPr>
            <a:t>èè</a:t>
          </a:r>
        </a:p>
      </xdr:txBody>
    </xdr:sp>
    <xdr:clientData/>
  </xdr:twoCellAnchor>
  <xdr:twoCellAnchor>
    <xdr:from>
      <xdr:col>4</xdr:col>
      <xdr:colOff>47625</xdr:colOff>
      <xdr:row>0</xdr:row>
      <xdr:rowOff>38100</xdr:rowOff>
    </xdr:from>
    <xdr:to>
      <xdr:col>10</xdr:col>
      <xdr:colOff>571500</xdr:colOff>
      <xdr:row>5</xdr:row>
      <xdr:rowOff>142875</xdr:rowOff>
    </xdr:to>
    <xdr:sp macro="" textlink="">
      <xdr:nvSpPr>
        <xdr:cNvPr id="61443" name="Text Box 3"/>
        <xdr:cNvSpPr txBox="1">
          <a:spLocks noChangeArrowheads="1"/>
        </xdr:cNvSpPr>
      </xdr:nvSpPr>
      <xdr:spPr bwMode="auto">
        <a:xfrm>
          <a:off x="3924300" y="38100"/>
          <a:ext cx="4076700" cy="10096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Arial"/>
              <a:cs typeface="Arial"/>
            </a:rPr>
            <a:t>Steel Wide Flange I-Beams are identified by:</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W DEPTH (inches) × WEIGHT PER UNIT LENGTH (pounds per foot) </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 </a:t>
          </a:r>
        </a:p>
        <a:p>
          <a:pPr algn="l" rtl="0">
            <a:defRPr sz="1000"/>
          </a:pPr>
          <a:r>
            <a:rPr lang="en-GB" sz="1000" b="0" i="1" u="none" strike="noStrike" baseline="0">
              <a:solidFill>
                <a:srgbClr val="000000"/>
              </a:solidFill>
              <a:latin typeface="Arial"/>
              <a:cs typeface="Arial"/>
            </a:rPr>
            <a:t>For Example: W27 × 161 is an I-Beam with a Depth of 27 inches and having a Nominal Weight per Foot of 161 lbf/ft.  </a:t>
          </a:r>
        </a:p>
      </xdr:txBody>
    </xdr:sp>
    <xdr:clientData/>
  </xdr:twoCellAnchor>
  <xdr:twoCellAnchor editAs="oneCell">
    <xdr:from>
      <xdr:col>4</xdr:col>
      <xdr:colOff>85725</xdr:colOff>
      <xdr:row>7</xdr:row>
      <xdr:rowOff>47625</xdr:rowOff>
    </xdr:from>
    <xdr:to>
      <xdr:col>9</xdr:col>
      <xdr:colOff>95250</xdr:colOff>
      <xdr:row>28</xdr:row>
      <xdr:rowOff>19050</xdr:rowOff>
    </xdr:to>
    <xdr:pic>
      <xdr:nvPicPr>
        <xdr:cNvPr id="61506"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3962400" y="1428750"/>
          <a:ext cx="2952750" cy="3562350"/>
        </a:xfrm>
        <a:prstGeom prst="rect">
          <a:avLst/>
        </a:prstGeom>
        <a:noFill/>
        <a:ln w="9525">
          <a:noFill/>
          <a:miter lim="800000"/>
          <a:headEnd/>
          <a:tailEnd/>
        </a:ln>
      </xdr:spPr>
    </xdr:pic>
    <xdr:clientData/>
  </xdr:twoCellAnchor>
  <xdr:twoCellAnchor editAs="absolute">
    <xdr:from>
      <xdr:col>0</xdr:col>
      <xdr:colOff>38100</xdr:colOff>
      <xdr:row>0</xdr:row>
      <xdr:rowOff>28575</xdr:rowOff>
    </xdr:from>
    <xdr:to>
      <xdr:col>1</xdr:col>
      <xdr:colOff>38100</xdr:colOff>
      <xdr:row>1</xdr:row>
      <xdr:rowOff>95250</xdr:rowOff>
    </xdr:to>
    <xdr:pic>
      <xdr:nvPicPr>
        <xdr:cNvPr id="61507" name="Picture 12">
          <a:hlinkClick xmlns:r="http://schemas.openxmlformats.org/officeDocument/2006/relationships" r:id="rId2" tooltip="Return to Main Menu"/>
        </xdr:cNvPr>
        <xdr:cNvPicPr>
          <a:picLocks noChangeAspect="1" noChangeArrowheads="1"/>
        </xdr:cNvPicPr>
      </xdr:nvPicPr>
      <xdr:blipFill>
        <a:blip xmlns:r="http://schemas.openxmlformats.org/officeDocument/2006/relationships" r:embed="rId3" cstate="print"/>
        <a:srcRect/>
        <a:stretch>
          <a:fillRect/>
        </a:stretch>
      </xdr:blipFill>
      <xdr:spPr bwMode="auto">
        <a:xfrm>
          <a:off x="38100" y="28575"/>
          <a:ext cx="895350" cy="228600"/>
        </a:xfrm>
        <a:prstGeom prst="rect">
          <a:avLst/>
        </a:prstGeom>
        <a:noFill/>
        <a:ln w="9525">
          <a:noFill/>
          <a:miter lim="800000"/>
          <a:headEnd/>
          <a:tailEnd/>
        </a:ln>
      </xdr:spPr>
    </xdr:pic>
    <xdr:clientData fPrintsWithSheet="0"/>
  </xdr:twoCellAnchor>
  <xdr:twoCellAnchor editAs="absolute">
    <xdr:from>
      <xdr:col>0</xdr:col>
      <xdr:colOff>38100</xdr:colOff>
      <xdr:row>1</xdr:row>
      <xdr:rowOff>104775</xdr:rowOff>
    </xdr:from>
    <xdr:to>
      <xdr:col>1</xdr:col>
      <xdr:colOff>38100</xdr:colOff>
      <xdr:row>2</xdr:row>
      <xdr:rowOff>171450</xdr:rowOff>
    </xdr:to>
    <xdr:pic>
      <xdr:nvPicPr>
        <xdr:cNvPr id="61508" name="Picture 13">
          <a:hlinkClick xmlns:r="http://schemas.openxmlformats.org/officeDocument/2006/relationships" r:id="rId4" tooltip="Go To Master Index"/>
        </xdr:cNvPr>
        <xdr:cNvPicPr>
          <a:picLocks noChangeAspect="1" noChangeArrowheads="1"/>
        </xdr:cNvPicPr>
      </xdr:nvPicPr>
      <xdr:blipFill>
        <a:blip xmlns:r="http://schemas.openxmlformats.org/officeDocument/2006/relationships" r:embed="rId5" cstate="print"/>
        <a:srcRect/>
        <a:stretch>
          <a:fillRect/>
        </a:stretch>
      </xdr:blipFill>
      <xdr:spPr bwMode="auto">
        <a:xfrm>
          <a:off x="38100" y="266700"/>
          <a:ext cx="895350" cy="228600"/>
        </a:xfrm>
        <a:prstGeom prst="rect">
          <a:avLst/>
        </a:prstGeom>
        <a:noFill/>
        <a:ln w="9525">
          <a:noFill/>
          <a:miter lim="800000"/>
          <a:headEnd/>
          <a:tailEnd/>
        </a:ln>
      </xdr:spPr>
    </xdr:pic>
    <xdr:clientData fPrintsWithSheet="0"/>
  </xdr:twoCellAnchor>
  <xdr:twoCellAnchor editAs="absolute">
    <xdr:from>
      <xdr:col>0</xdr:col>
      <xdr:colOff>38100</xdr:colOff>
      <xdr:row>2</xdr:row>
      <xdr:rowOff>200025</xdr:rowOff>
    </xdr:from>
    <xdr:to>
      <xdr:col>1</xdr:col>
      <xdr:colOff>38100</xdr:colOff>
      <xdr:row>4</xdr:row>
      <xdr:rowOff>9525</xdr:rowOff>
    </xdr:to>
    <xdr:pic>
      <xdr:nvPicPr>
        <xdr:cNvPr id="61509" name="Picture 14">
          <a:hlinkClick xmlns:r="http://schemas.openxmlformats.org/officeDocument/2006/relationships" r:id="rId6" tooltip="Go To Weights Menu"/>
        </xdr:cNvPr>
        <xdr:cNvPicPr>
          <a:picLocks noChangeAspect="1" noChangeArrowheads="1"/>
        </xdr:cNvPicPr>
      </xdr:nvPicPr>
      <xdr:blipFill>
        <a:blip xmlns:r="http://schemas.openxmlformats.org/officeDocument/2006/relationships" r:embed="rId7" cstate="print"/>
        <a:srcRect/>
        <a:stretch>
          <a:fillRect/>
        </a:stretch>
      </xdr:blipFill>
      <xdr:spPr bwMode="auto">
        <a:xfrm>
          <a:off x="38100" y="523875"/>
          <a:ext cx="895350" cy="228600"/>
        </a:xfrm>
        <a:prstGeom prst="rect">
          <a:avLst/>
        </a:prstGeom>
        <a:noFill/>
        <a:ln w="9525">
          <a:noFill/>
          <a:miter lim="800000"/>
          <a:headEnd/>
          <a:tailEnd/>
        </a:ln>
      </xdr:spPr>
    </xdr:pic>
    <xdr:clientData fPrintsWithSheet="0"/>
  </xdr:twoCellAnchor>
  <xdr:twoCellAnchor editAs="absolute">
    <xdr:from>
      <xdr:col>0</xdr:col>
      <xdr:colOff>38100</xdr:colOff>
      <xdr:row>4</xdr:row>
      <xdr:rowOff>9525</xdr:rowOff>
    </xdr:from>
    <xdr:to>
      <xdr:col>1</xdr:col>
      <xdr:colOff>38100</xdr:colOff>
      <xdr:row>5</xdr:row>
      <xdr:rowOff>76200</xdr:rowOff>
    </xdr:to>
    <xdr:pic>
      <xdr:nvPicPr>
        <xdr:cNvPr id="61510" name="Picture 15">
          <a:hlinkClick xmlns:r="http://schemas.openxmlformats.org/officeDocument/2006/relationships" r:id="rId8" tooltip="Go To Tension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38100" y="752475"/>
          <a:ext cx="895350" cy="228600"/>
        </a:xfrm>
        <a:prstGeom prst="rect">
          <a:avLst/>
        </a:prstGeom>
        <a:noFill/>
        <a:ln w="9525">
          <a:noFill/>
          <a:miter lim="800000"/>
          <a:headEnd/>
          <a:tailEnd/>
        </a:ln>
      </xdr:spPr>
    </xdr:pic>
    <xdr:clientData fPrintsWithSheet="0"/>
  </xdr:twoCellAnchor>
  <xdr:twoCellAnchor editAs="absolute">
    <xdr:from>
      <xdr:col>0</xdr:col>
      <xdr:colOff>38100</xdr:colOff>
      <xdr:row>5</xdr:row>
      <xdr:rowOff>76200</xdr:rowOff>
    </xdr:from>
    <xdr:to>
      <xdr:col>1</xdr:col>
      <xdr:colOff>38100</xdr:colOff>
      <xdr:row>6</xdr:row>
      <xdr:rowOff>28575</xdr:rowOff>
    </xdr:to>
    <xdr:pic>
      <xdr:nvPicPr>
        <xdr:cNvPr id="61511" name="Picture 16">
          <a:hlinkClick xmlns:r="http://schemas.openxmlformats.org/officeDocument/2006/relationships" r:id="rId10" tooltip="Go To Equipment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38100" y="981075"/>
          <a:ext cx="895350" cy="228600"/>
        </a:xfrm>
        <a:prstGeom prst="rect">
          <a:avLst/>
        </a:prstGeom>
        <a:noFill/>
        <a:ln w="9525">
          <a:noFill/>
          <a:miter lim="800000"/>
          <a:headEnd/>
          <a:tailEnd/>
        </a:ln>
      </xdr:spPr>
    </xdr:pic>
    <xdr:clientData fPrintsWithSheet="0"/>
  </xdr:twoCellAnchor>
  <xdr:twoCellAnchor editAs="absolute">
    <xdr:from>
      <xdr:col>0</xdr:col>
      <xdr:colOff>95250</xdr:colOff>
      <xdr:row>6</xdr:row>
      <xdr:rowOff>57150</xdr:rowOff>
    </xdr:from>
    <xdr:to>
      <xdr:col>0</xdr:col>
      <xdr:colOff>323850</xdr:colOff>
      <xdr:row>7</xdr:row>
      <xdr:rowOff>85725</xdr:rowOff>
    </xdr:to>
    <xdr:pic>
      <xdr:nvPicPr>
        <xdr:cNvPr id="61512" name="Picture 17" descr="Code Information">
          <a:hlinkClick xmlns:r="http://schemas.openxmlformats.org/officeDocument/2006/relationships" r:id="rId12" tooltip="Code Information"/>
        </xdr:cNvPr>
        <xdr:cNvPicPr>
          <a:picLocks noChangeAspect="1" noChangeArrowheads="1"/>
        </xdr:cNvPicPr>
      </xdr:nvPicPr>
      <xdr:blipFill>
        <a:blip xmlns:r="http://schemas.openxmlformats.org/officeDocument/2006/relationships" r:embed="rId13" cstate="print"/>
        <a:srcRect/>
        <a:stretch>
          <a:fillRect/>
        </a:stretch>
      </xdr:blipFill>
      <xdr:spPr bwMode="auto">
        <a:xfrm>
          <a:off x="95250" y="1238250"/>
          <a:ext cx="228600" cy="228600"/>
        </a:xfrm>
        <a:prstGeom prst="rect">
          <a:avLst/>
        </a:prstGeom>
        <a:noFill/>
        <a:ln w="9525">
          <a:noFill/>
          <a:miter lim="800000"/>
          <a:headEnd/>
          <a:tailEnd/>
        </a:ln>
      </xdr:spPr>
    </xdr:pic>
    <xdr:clientData fPrintsWithSheet="0"/>
  </xdr:twoCellAnchor>
  <xdr:twoCellAnchor editAs="absolute">
    <xdr:from>
      <xdr:col>0</xdr:col>
      <xdr:colOff>352425</xdr:colOff>
      <xdr:row>6</xdr:row>
      <xdr:rowOff>57150</xdr:rowOff>
    </xdr:from>
    <xdr:to>
      <xdr:col>0</xdr:col>
      <xdr:colOff>581025</xdr:colOff>
      <xdr:row>7</xdr:row>
      <xdr:rowOff>85725</xdr:rowOff>
    </xdr:to>
    <xdr:pic>
      <xdr:nvPicPr>
        <xdr:cNvPr id="61513" name="Picture 18" descr="help">
          <a:hlinkClick xmlns:r="http://schemas.openxmlformats.org/officeDocument/2006/relationships" r:id="rId14" tooltip="Help"/>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52425" y="1238250"/>
          <a:ext cx="228600" cy="228600"/>
        </a:xfrm>
        <a:prstGeom prst="rect">
          <a:avLst/>
        </a:prstGeom>
        <a:noFill/>
        <a:ln w="9525">
          <a:noFill/>
          <a:miter lim="800000"/>
          <a:headEnd/>
          <a:tailEnd/>
        </a:ln>
      </xdr:spPr>
    </xdr:pic>
    <xdr:clientData fPrintsWithSheet="0"/>
  </xdr:twoCellAnchor>
  <xdr:twoCellAnchor editAs="absolute">
    <xdr:from>
      <xdr:col>0</xdr:col>
      <xdr:colOff>619125</xdr:colOff>
      <xdr:row>6</xdr:row>
      <xdr:rowOff>57150</xdr:rowOff>
    </xdr:from>
    <xdr:to>
      <xdr:col>0</xdr:col>
      <xdr:colOff>847725</xdr:colOff>
      <xdr:row>7</xdr:row>
      <xdr:rowOff>85725</xdr:rowOff>
    </xdr:to>
    <xdr:pic>
      <xdr:nvPicPr>
        <xdr:cNvPr id="61514" name="Picture 19" descr="star">
          <a:hlinkClick xmlns:r="http://schemas.openxmlformats.org/officeDocument/2006/relationships" r:id="rId16" tooltip="Conversions"/>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19125" y="1238250"/>
          <a:ext cx="228600" cy="22860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editAs="oneCell">
        <xdr:from>
          <xdr:col>2</xdr:col>
          <xdr:colOff>19050</xdr:colOff>
          <xdr:row>6</xdr:row>
          <xdr:rowOff>190500</xdr:rowOff>
        </xdr:from>
        <xdr:to>
          <xdr:col>3</xdr:col>
          <xdr:colOff>342900</xdr:colOff>
          <xdr:row>8</xdr:row>
          <xdr:rowOff>28575</xdr:rowOff>
        </xdr:to>
        <xdr:sp macro="" textlink="">
          <xdr:nvSpPr>
            <xdr:cNvPr id="61442" name="Drop Down 2" hidden="1">
              <a:extLst>
                <a:ext uri="{63B3BB69-23CF-44E3-9099-C40C66FF867C}">
                  <a14:compatExt spid="_x0000_s61442"/>
                </a:ext>
              </a:extLst>
            </xdr:cNvPr>
            <xdr:cNvSpPr/>
          </xdr:nvSpPr>
          <xdr:spPr>
            <a:xfrm>
              <a:off x="0" y="0"/>
              <a:ext cx="0" cy="0"/>
            </a:xfrm>
            <a:prstGeom prst="rect">
              <a:avLst/>
            </a:prstGeom>
          </xdr:spPr>
        </xdr:sp>
        <xdr:clientData fLocksWithSheet="0"/>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1</xdr:col>
      <xdr:colOff>228600</xdr:colOff>
      <xdr:row>6</xdr:row>
      <xdr:rowOff>152400</xdr:rowOff>
    </xdr:from>
    <xdr:to>
      <xdr:col>3</xdr:col>
      <xdr:colOff>381000</xdr:colOff>
      <xdr:row>8</xdr:row>
      <xdr:rowOff>66675</xdr:rowOff>
    </xdr:to>
    <xdr:sp macro="" textlink="">
      <xdr:nvSpPr>
        <xdr:cNvPr id="62465" name="Text Box 1"/>
        <xdr:cNvSpPr txBox="1">
          <a:spLocks noChangeArrowheads="1"/>
        </xdr:cNvSpPr>
      </xdr:nvSpPr>
      <xdr:spPr bwMode="auto">
        <a:xfrm>
          <a:off x="962025" y="1333500"/>
          <a:ext cx="2324100" cy="276225"/>
        </a:xfrm>
        <a:prstGeom prst="rect">
          <a:avLst/>
        </a:prstGeom>
        <a:solidFill>
          <a:srgbClr val="FFFF00"/>
        </a:solidFill>
        <a:ln w="9525">
          <a:noFill/>
          <a:miter lim="800000"/>
          <a:headEnd/>
          <a:tailEnd/>
        </a:ln>
      </xdr:spPr>
      <xdr:txBody>
        <a:bodyPr vertOverflow="clip" wrap="square" lIns="27432" tIns="22860" rIns="0" bIns="22860" anchor="ctr" upright="1"/>
        <a:lstStyle/>
        <a:p>
          <a:pPr algn="l" rtl="0">
            <a:defRPr sz="1000"/>
          </a:pPr>
          <a:r>
            <a:rPr lang="en-GB" sz="1000" b="1" i="0" u="none" strike="noStrike" baseline="0">
              <a:solidFill>
                <a:srgbClr val="000000"/>
              </a:solidFill>
              <a:latin typeface="Arial"/>
              <a:cs typeface="Arial"/>
            </a:rPr>
            <a:t>  I-Beam Size </a:t>
          </a:r>
          <a:r>
            <a:rPr lang="en-GB" sz="1000" b="1" i="0" u="none" strike="noStrike" baseline="0">
              <a:solidFill>
                <a:srgbClr val="000000"/>
              </a:solidFill>
              <a:latin typeface="Wingdings"/>
            </a:rPr>
            <a:t>èè</a:t>
          </a:r>
        </a:p>
      </xdr:txBody>
    </xdr:sp>
    <xdr:clientData/>
  </xdr:twoCellAnchor>
  <xdr:twoCellAnchor>
    <xdr:from>
      <xdr:col>4</xdr:col>
      <xdr:colOff>47625</xdr:colOff>
      <xdr:row>0</xdr:row>
      <xdr:rowOff>38100</xdr:rowOff>
    </xdr:from>
    <xdr:to>
      <xdr:col>10</xdr:col>
      <xdr:colOff>571500</xdr:colOff>
      <xdr:row>5</xdr:row>
      <xdr:rowOff>171450</xdr:rowOff>
    </xdr:to>
    <xdr:sp macro="" textlink="">
      <xdr:nvSpPr>
        <xdr:cNvPr id="62468" name="Text Box 4"/>
        <xdr:cNvSpPr txBox="1">
          <a:spLocks noChangeArrowheads="1"/>
        </xdr:cNvSpPr>
      </xdr:nvSpPr>
      <xdr:spPr bwMode="auto">
        <a:xfrm>
          <a:off x="3562350" y="38100"/>
          <a:ext cx="4257675" cy="10382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Arial"/>
              <a:cs typeface="Arial"/>
            </a:rPr>
            <a:t>American Standard Steel Channels are identified by:</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 DEPTH (inches) × WEIGHT PER UNIT LENGTH (pound force per foot) </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 </a:t>
          </a:r>
        </a:p>
        <a:p>
          <a:pPr algn="l" rtl="0">
            <a:defRPr sz="1000"/>
          </a:pPr>
          <a:r>
            <a:rPr lang="en-GB" sz="1000" b="0" i="1" u="none" strike="noStrike" baseline="0">
              <a:solidFill>
                <a:srgbClr val="000000"/>
              </a:solidFill>
              <a:latin typeface="Arial"/>
              <a:cs typeface="Arial"/>
            </a:rPr>
            <a:t>For Example: C12 × 30 is a Channel with a Depth of 12 inches and having a Nominal Weight per Foot of 30 lbf/ft.  </a:t>
          </a:r>
        </a:p>
      </xdr:txBody>
    </xdr:sp>
    <xdr:clientData/>
  </xdr:twoCellAnchor>
  <xdr:twoCellAnchor editAs="oneCell">
    <xdr:from>
      <xdr:col>4</xdr:col>
      <xdr:colOff>123825</xdr:colOff>
      <xdr:row>8</xdr:row>
      <xdr:rowOff>38100</xdr:rowOff>
    </xdr:from>
    <xdr:to>
      <xdr:col>7</xdr:col>
      <xdr:colOff>47625</xdr:colOff>
      <xdr:row>28</xdr:row>
      <xdr:rowOff>28575</xdr:rowOff>
    </xdr:to>
    <xdr:pic>
      <xdr:nvPicPr>
        <xdr:cNvPr id="62529"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3638550" y="1581150"/>
          <a:ext cx="1933575" cy="3419475"/>
        </a:xfrm>
        <a:prstGeom prst="rect">
          <a:avLst/>
        </a:prstGeom>
        <a:noFill/>
        <a:ln w="9525">
          <a:noFill/>
          <a:miter lim="800000"/>
          <a:headEnd/>
          <a:tailEnd/>
        </a:ln>
      </xdr:spPr>
    </xdr:pic>
    <xdr:clientData/>
  </xdr:twoCellAnchor>
  <xdr:twoCellAnchor editAs="absolute">
    <xdr:from>
      <xdr:col>0</xdr:col>
      <xdr:colOff>57150</xdr:colOff>
      <xdr:row>0</xdr:row>
      <xdr:rowOff>57150</xdr:rowOff>
    </xdr:from>
    <xdr:to>
      <xdr:col>1</xdr:col>
      <xdr:colOff>219075</xdr:colOff>
      <xdr:row>1</xdr:row>
      <xdr:rowOff>123825</xdr:rowOff>
    </xdr:to>
    <xdr:pic>
      <xdr:nvPicPr>
        <xdr:cNvPr id="62530" name="Picture 11">
          <a:hlinkClick xmlns:r="http://schemas.openxmlformats.org/officeDocument/2006/relationships" r:id="rId2" tooltip="Return to Main Menu"/>
        </xdr:cNvPr>
        <xdr:cNvPicPr>
          <a:picLocks noChangeAspect="1" noChangeArrowheads="1"/>
        </xdr:cNvPicPr>
      </xdr:nvPicPr>
      <xdr:blipFill>
        <a:blip xmlns:r="http://schemas.openxmlformats.org/officeDocument/2006/relationships" r:embed="rId3" cstate="print"/>
        <a:srcRect/>
        <a:stretch>
          <a:fillRect/>
        </a:stretch>
      </xdr:blipFill>
      <xdr:spPr bwMode="auto">
        <a:xfrm>
          <a:off x="57150" y="57150"/>
          <a:ext cx="895350" cy="228600"/>
        </a:xfrm>
        <a:prstGeom prst="rect">
          <a:avLst/>
        </a:prstGeom>
        <a:noFill/>
        <a:ln w="9525">
          <a:noFill/>
          <a:miter lim="800000"/>
          <a:headEnd/>
          <a:tailEnd/>
        </a:ln>
      </xdr:spPr>
    </xdr:pic>
    <xdr:clientData fPrintsWithSheet="0"/>
  </xdr:twoCellAnchor>
  <xdr:twoCellAnchor editAs="absolute">
    <xdr:from>
      <xdr:col>0</xdr:col>
      <xdr:colOff>57150</xdr:colOff>
      <xdr:row>1</xdr:row>
      <xdr:rowOff>133350</xdr:rowOff>
    </xdr:from>
    <xdr:to>
      <xdr:col>1</xdr:col>
      <xdr:colOff>219075</xdr:colOff>
      <xdr:row>2</xdr:row>
      <xdr:rowOff>200025</xdr:rowOff>
    </xdr:to>
    <xdr:pic>
      <xdr:nvPicPr>
        <xdr:cNvPr id="62531" name="Picture 12">
          <a:hlinkClick xmlns:r="http://schemas.openxmlformats.org/officeDocument/2006/relationships" r:id="rId4" tooltip="Go To Master Index"/>
        </xdr:cNvPr>
        <xdr:cNvPicPr>
          <a:picLocks noChangeAspect="1" noChangeArrowheads="1"/>
        </xdr:cNvPicPr>
      </xdr:nvPicPr>
      <xdr:blipFill>
        <a:blip xmlns:r="http://schemas.openxmlformats.org/officeDocument/2006/relationships" r:embed="rId5" cstate="print"/>
        <a:srcRect/>
        <a:stretch>
          <a:fillRect/>
        </a:stretch>
      </xdr:blipFill>
      <xdr:spPr bwMode="auto">
        <a:xfrm>
          <a:off x="57150" y="295275"/>
          <a:ext cx="895350" cy="228600"/>
        </a:xfrm>
        <a:prstGeom prst="rect">
          <a:avLst/>
        </a:prstGeom>
        <a:noFill/>
        <a:ln w="9525">
          <a:noFill/>
          <a:miter lim="800000"/>
          <a:headEnd/>
          <a:tailEnd/>
        </a:ln>
      </xdr:spPr>
    </xdr:pic>
    <xdr:clientData fPrintsWithSheet="0"/>
  </xdr:twoCellAnchor>
  <xdr:twoCellAnchor editAs="absolute">
    <xdr:from>
      <xdr:col>0</xdr:col>
      <xdr:colOff>57150</xdr:colOff>
      <xdr:row>2</xdr:row>
      <xdr:rowOff>228600</xdr:rowOff>
    </xdr:from>
    <xdr:to>
      <xdr:col>1</xdr:col>
      <xdr:colOff>219075</xdr:colOff>
      <xdr:row>4</xdr:row>
      <xdr:rowOff>38100</xdr:rowOff>
    </xdr:to>
    <xdr:pic>
      <xdr:nvPicPr>
        <xdr:cNvPr id="62532" name="Picture 13">
          <a:hlinkClick xmlns:r="http://schemas.openxmlformats.org/officeDocument/2006/relationships" r:id="rId6" tooltip="Go To Weights Menu"/>
        </xdr:cNvPr>
        <xdr:cNvPicPr>
          <a:picLocks noChangeAspect="1" noChangeArrowheads="1"/>
        </xdr:cNvPicPr>
      </xdr:nvPicPr>
      <xdr:blipFill>
        <a:blip xmlns:r="http://schemas.openxmlformats.org/officeDocument/2006/relationships" r:embed="rId7" cstate="print"/>
        <a:srcRect/>
        <a:stretch>
          <a:fillRect/>
        </a:stretch>
      </xdr:blipFill>
      <xdr:spPr bwMode="auto">
        <a:xfrm>
          <a:off x="57150" y="552450"/>
          <a:ext cx="895350" cy="228600"/>
        </a:xfrm>
        <a:prstGeom prst="rect">
          <a:avLst/>
        </a:prstGeom>
        <a:noFill/>
        <a:ln w="9525">
          <a:noFill/>
          <a:miter lim="800000"/>
          <a:headEnd/>
          <a:tailEnd/>
        </a:ln>
      </xdr:spPr>
    </xdr:pic>
    <xdr:clientData fPrintsWithSheet="0"/>
  </xdr:twoCellAnchor>
  <xdr:twoCellAnchor editAs="absolute">
    <xdr:from>
      <xdr:col>0</xdr:col>
      <xdr:colOff>57150</xdr:colOff>
      <xdr:row>4</xdr:row>
      <xdr:rowOff>38100</xdr:rowOff>
    </xdr:from>
    <xdr:to>
      <xdr:col>1</xdr:col>
      <xdr:colOff>219075</xdr:colOff>
      <xdr:row>5</xdr:row>
      <xdr:rowOff>104775</xdr:rowOff>
    </xdr:to>
    <xdr:pic>
      <xdr:nvPicPr>
        <xdr:cNvPr id="62533" name="Picture 14">
          <a:hlinkClick xmlns:r="http://schemas.openxmlformats.org/officeDocument/2006/relationships" r:id="rId8" tooltip="Go To Tension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57150" y="781050"/>
          <a:ext cx="895350" cy="228600"/>
        </a:xfrm>
        <a:prstGeom prst="rect">
          <a:avLst/>
        </a:prstGeom>
        <a:noFill/>
        <a:ln w="9525">
          <a:noFill/>
          <a:miter lim="800000"/>
          <a:headEnd/>
          <a:tailEnd/>
        </a:ln>
      </xdr:spPr>
    </xdr:pic>
    <xdr:clientData fPrintsWithSheet="0"/>
  </xdr:twoCellAnchor>
  <xdr:twoCellAnchor editAs="absolute">
    <xdr:from>
      <xdr:col>0</xdr:col>
      <xdr:colOff>57150</xdr:colOff>
      <xdr:row>5</xdr:row>
      <xdr:rowOff>104775</xdr:rowOff>
    </xdr:from>
    <xdr:to>
      <xdr:col>1</xdr:col>
      <xdr:colOff>219075</xdr:colOff>
      <xdr:row>6</xdr:row>
      <xdr:rowOff>57150</xdr:rowOff>
    </xdr:to>
    <xdr:pic>
      <xdr:nvPicPr>
        <xdr:cNvPr id="62534" name="Picture 15">
          <a:hlinkClick xmlns:r="http://schemas.openxmlformats.org/officeDocument/2006/relationships" r:id="rId10" tooltip="Go To Equipment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7150" y="1009650"/>
          <a:ext cx="895350" cy="228600"/>
        </a:xfrm>
        <a:prstGeom prst="rect">
          <a:avLst/>
        </a:prstGeom>
        <a:noFill/>
        <a:ln w="9525">
          <a:noFill/>
          <a:miter lim="800000"/>
          <a:headEnd/>
          <a:tailEnd/>
        </a:ln>
      </xdr:spPr>
    </xdr:pic>
    <xdr:clientData fPrintsWithSheet="0"/>
  </xdr:twoCellAnchor>
  <xdr:twoCellAnchor editAs="absolute">
    <xdr:from>
      <xdr:col>0</xdr:col>
      <xdr:colOff>104775</xdr:colOff>
      <xdr:row>6</xdr:row>
      <xdr:rowOff>85725</xdr:rowOff>
    </xdr:from>
    <xdr:to>
      <xdr:col>0</xdr:col>
      <xdr:colOff>333375</xdr:colOff>
      <xdr:row>7</xdr:row>
      <xdr:rowOff>114300</xdr:rowOff>
    </xdr:to>
    <xdr:pic>
      <xdr:nvPicPr>
        <xdr:cNvPr id="62535" name="Picture 16" descr="Code Information">
          <a:hlinkClick xmlns:r="http://schemas.openxmlformats.org/officeDocument/2006/relationships" r:id="rId12" tooltip="Code Information"/>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04775" y="1266825"/>
          <a:ext cx="228600" cy="228600"/>
        </a:xfrm>
        <a:prstGeom prst="rect">
          <a:avLst/>
        </a:prstGeom>
        <a:noFill/>
        <a:ln w="9525">
          <a:noFill/>
          <a:miter lim="800000"/>
          <a:headEnd/>
          <a:tailEnd/>
        </a:ln>
      </xdr:spPr>
    </xdr:pic>
    <xdr:clientData fPrintsWithSheet="0"/>
  </xdr:twoCellAnchor>
  <xdr:twoCellAnchor editAs="absolute">
    <xdr:from>
      <xdr:col>0</xdr:col>
      <xdr:colOff>361950</xdr:colOff>
      <xdr:row>6</xdr:row>
      <xdr:rowOff>85725</xdr:rowOff>
    </xdr:from>
    <xdr:to>
      <xdr:col>0</xdr:col>
      <xdr:colOff>590550</xdr:colOff>
      <xdr:row>7</xdr:row>
      <xdr:rowOff>114300</xdr:rowOff>
    </xdr:to>
    <xdr:pic>
      <xdr:nvPicPr>
        <xdr:cNvPr id="62536" name="Picture 17" descr="help">
          <a:hlinkClick xmlns:r="http://schemas.openxmlformats.org/officeDocument/2006/relationships" r:id="rId14" tooltip="Help"/>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61950" y="1266825"/>
          <a:ext cx="228600" cy="228600"/>
        </a:xfrm>
        <a:prstGeom prst="rect">
          <a:avLst/>
        </a:prstGeom>
        <a:noFill/>
        <a:ln w="9525">
          <a:noFill/>
          <a:miter lim="800000"/>
          <a:headEnd/>
          <a:tailEnd/>
        </a:ln>
      </xdr:spPr>
    </xdr:pic>
    <xdr:clientData fPrintsWithSheet="0"/>
  </xdr:twoCellAnchor>
  <xdr:twoCellAnchor editAs="absolute">
    <xdr:from>
      <xdr:col>0</xdr:col>
      <xdr:colOff>628650</xdr:colOff>
      <xdr:row>6</xdr:row>
      <xdr:rowOff>85725</xdr:rowOff>
    </xdr:from>
    <xdr:to>
      <xdr:col>1</xdr:col>
      <xdr:colOff>123825</xdr:colOff>
      <xdr:row>7</xdr:row>
      <xdr:rowOff>114300</xdr:rowOff>
    </xdr:to>
    <xdr:pic>
      <xdr:nvPicPr>
        <xdr:cNvPr id="62537" name="Picture 18" descr="star">
          <a:hlinkClick xmlns:r="http://schemas.openxmlformats.org/officeDocument/2006/relationships" r:id="rId16" tooltip="Conversions"/>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28650" y="1266825"/>
          <a:ext cx="228600" cy="22860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editAs="oneCell">
        <xdr:from>
          <xdr:col>2</xdr:col>
          <xdr:colOff>19050</xdr:colOff>
          <xdr:row>6</xdr:row>
          <xdr:rowOff>190500</xdr:rowOff>
        </xdr:from>
        <xdr:to>
          <xdr:col>3</xdr:col>
          <xdr:colOff>342900</xdr:colOff>
          <xdr:row>8</xdr:row>
          <xdr:rowOff>28575</xdr:rowOff>
        </xdr:to>
        <xdr:sp macro="" textlink="">
          <xdr:nvSpPr>
            <xdr:cNvPr id="62467" name="Drop Down 3" hidden="1">
              <a:extLst>
                <a:ext uri="{63B3BB69-23CF-44E3-9099-C40C66FF867C}">
                  <a14:compatExt spid="_x0000_s62467"/>
                </a:ext>
              </a:extLst>
            </xdr:cNvPr>
            <xdr:cNvSpPr/>
          </xdr:nvSpPr>
          <xdr:spPr>
            <a:xfrm>
              <a:off x="0" y="0"/>
              <a:ext cx="0" cy="0"/>
            </a:xfrm>
            <a:prstGeom prst="rect">
              <a:avLst/>
            </a:prstGeom>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1</xdr:col>
      <xdr:colOff>228600</xdr:colOff>
      <xdr:row>6</xdr:row>
      <xdr:rowOff>152400</xdr:rowOff>
    </xdr:from>
    <xdr:to>
      <xdr:col>3</xdr:col>
      <xdr:colOff>381000</xdr:colOff>
      <xdr:row>8</xdr:row>
      <xdr:rowOff>66675</xdr:rowOff>
    </xdr:to>
    <xdr:sp macro="" textlink="">
      <xdr:nvSpPr>
        <xdr:cNvPr id="63489" name="Text Box 1"/>
        <xdr:cNvSpPr txBox="1">
          <a:spLocks noChangeArrowheads="1"/>
        </xdr:cNvSpPr>
      </xdr:nvSpPr>
      <xdr:spPr bwMode="auto">
        <a:xfrm>
          <a:off x="923925" y="1333500"/>
          <a:ext cx="2324100" cy="276225"/>
        </a:xfrm>
        <a:prstGeom prst="rect">
          <a:avLst/>
        </a:prstGeom>
        <a:solidFill>
          <a:srgbClr val="FFFF00"/>
        </a:solidFill>
        <a:ln w="9525">
          <a:noFill/>
          <a:miter lim="800000"/>
          <a:headEnd/>
          <a:tailEnd/>
        </a:ln>
      </xdr:spPr>
      <xdr:txBody>
        <a:bodyPr vertOverflow="clip" wrap="square" lIns="27432" tIns="22860" rIns="0" bIns="22860" anchor="ctr" upright="1"/>
        <a:lstStyle/>
        <a:p>
          <a:pPr algn="l" rtl="0">
            <a:defRPr sz="1000"/>
          </a:pPr>
          <a:r>
            <a:rPr lang="en-GB" sz="1000" b="1" i="0" u="none" strike="noStrike" baseline="0">
              <a:solidFill>
                <a:srgbClr val="000000"/>
              </a:solidFill>
              <a:latin typeface="Arial"/>
              <a:cs typeface="Arial"/>
            </a:rPr>
            <a:t>  I-Beam Size </a:t>
          </a:r>
          <a:r>
            <a:rPr lang="en-GB" sz="1000" b="1" i="0" u="none" strike="noStrike" baseline="0">
              <a:solidFill>
                <a:srgbClr val="000000"/>
              </a:solidFill>
              <a:latin typeface="Wingdings"/>
            </a:rPr>
            <a:t>èè</a:t>
          </a:r>
        </a:p>
      </xdr:txBody>
    </xdr:sp>
    <xdr:clientData/>
  </xdr:twoCellAnchor>
  <xdr:twoCellAnchor>
    <xdr:from>
      <xdr:col>4</xdr:col>
      <xdr:colOff>47625</xdr:colOff>
      <xdr:row>0</xdr:row>
      <xdr:rowOff>38100</xdr:rowOff>
    </xdr:from>
    <xdr:to>
      <xdr:col>10</xdr:col>
      <xdr:colOff>571500</xdr:colOff>
      <xdr:row>5</xdr:row>
      <xdr:rowOff>171450</xdr:rowOff>
    </xdr:to>
    <xdr:sp macro="" textlink="">
      <xdr:nvSpPr>
        <xdr:cNvPr id="63491" name="Text Box 3"/>
        <xdr:cNvSpPr txBox="1">
          <a:spLocks noChangeArrowheads="1"/>
        </xdr:cNvSpPr>
      </xdr:nvSpPr>
      <xdr:spPr bwMode="auto">
        <a:xfrm>
          <a:off x="3524250" y="38100"/>
          <a:ext cx="4124325" cy="10382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Arial"/>
              <a:cs typeface="Arial"/>
            </a:rPr>
            <a:t>Steel Angles are identified by:</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LEG (h) inches × LEG (w) inches × THICKNESS (t) inches </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 </a:t>
          </a:r>
        </a:p>
        <a:p>
          <a:pPr algn="l" rtl="0">
            <a:defRPr sz="1000"/>
          </a:pPr>
          <a:r>
            <a:rPr lang="en-GB" sz="1000" b="0" i="1" u="none" strike="noStrike" baseline="0">
              <a:solidFill>
                <a:srgbClr val="000000"/>
              </a:solidFill>
              <a:latin typeface="Arial"/>
              <a:cs typeface="Arial"/>
            </a:rPr>
            <a:t>For Example: L4×3×5/8 is an Angle with one 4 inch leg one 3 inch leg and having a thickness of 5/8 of an inch.  </a:t>
          </a:r>
        </a:p>
      </xdr:txBody>
    </xdr:sp>
    <xdr:clientData/>
  </xdr:twoCellAnchor>
  <xdr:twoCellAnchor editAs="oneCell">
    <xdr:from>
      <xdr:col>6</xdr:col>
      <xdr:colOff>114300</xdr:colOff>
      <xdr:row>6</xdr:row>
      <xdr:rowOff>180975</xdr:rowOff>
    </xdr:from>
    <xdr:to>
      <xdr:col>9</xdr:col>
      <xdr:colOff>428625</xdr:colOff>
      <xdr:row>22</xdr:row>
      <xdr:rowOff>76200</xdr:rowOff>
    </xdr:to>
    <xdr:pic>
      <xdr:nvPicPr>
        <xdr:cNvPr id="63553"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4676775" y="1362075"/>
          <a:ext cx="2219325" cy="2676525"/>
        </a:xfrm>
        <a:prstGeom prst="rect">
          <a:avLst/>
        </a:prstGeom>
        <a:noFill/>
        <a:ln w="9525">
          <a:noFill/>
          <a:miter lim="800000"/>
          <a:headEnd/>
          <a:tailEnd/>
        </a:ln>
      </xdr:spPr>
    </xdr:pic>
    <xdr:clientData/>
  </xdr:twoCellAnchor>
  <xdr:twoCellAnchor editAs="absolute">
    <xdr:from>
      <xdr:col>0</xdr:col>
      <xdr:colOff>66675</xdr:colOff>
      <xdr:row>0</xdr:row>
      <xdr:rowOff>57150</xdr:rowOff>
    </xdr:from>
    <xdr:to>
      <xdr:col>1</xdr:col>
      <xdr:colOff>266700</xdr:colOff>
      <xdr:row>1</xdr:row>
      <xdr:rowOff>123825</xdr:rowOff>
    </xdr:to>
    <xdr:pic>
      <xdr:nvPicPr>
        <xdr:cNvPr id="63554" name="Picture 11">
          <a:hlinkClick xmlns:r="http://schemas.openxmlformats.org/officeDocument/2006/relationships" r:id="rId2" tooltip="Return to Main Menu"/>
        </xdr:cNvPr>
        <xdr:cNvPicPr>
          <a:picLocks noChangeAspect="1" noChangeArrowheads="1"/>
        </xdr:cNvPicPr>
      </xdr:nvPicPr>
      <xdr:blipFill>
        <a:blip xmlns:r="http://schemas.openxmlformats.org/officeDocument/2006/relationships" r:embed="rId3" cstate="print"/>
        <a:srcRect/>
        <a:stretch>
          <a:fillRect/>
        </a:stretch>
      </xdr:blipFill>
      <xdr:spPr bwMode="auto">
        <a:xfrm>
          <a:off x="66675" y="57150"/>
          <a:ext cx="895350" cy="228600"/>
        </a:xfrm>
        <a:prstGeom prst="rect">
          <a:avLst/>
        </a:prstGeom>
        <a:noFill/>
        <a:ln w="9525">
          <a:noFill/>
          <a:miter lim="800000"/>
          <a:headEnd/>
          <a:tailEnd/>
        </a:ln>
      </xdr:spPr>
    </xdr:pic>
    <xdr:clientData fPrintsWithSheet="0"/>
  </xdr:twoCellAnchor>
  <xdr:twoCellAnchor editAs="absolute">
    <xdr:from>
      <xdr:col>0</xdr:col>
      <xdr:colOff>66675</xdr:colOff>
      <xdr:row>1</xdr:row>
      <xdr:rowOff>133350</xdr:rowOff>
    </xdr:from>
    <xdr:to>
      <xdr:col>1</xdr:col>
      <xdr:colOff>266700</xdr:colOff>
      <xdr:row>2</xdr:row>
      <xdr:rowOff>200025</xdr:rowOff>
    </xdr:to>
    <xdr:pic>
      <xdr:nvPicPr>
        <xdr:cNvPr id="63555" name="Picture 12">
          <a:hlinkClick xmlns:r="http://schemas.openxmlformats.org/officeDocument/2006/relationships" r:id="rId4" tooltip="Go To Master Index"/>
        </xdr:cNvPr>
        <xdr:cNvPicPr>
          <a:picLocks noChangeAspect="1" noChangeArrowheads="1"/>
        </xdr:cNvPicPr>
      </xdr:nvPicPr>
      <xdr:blipFill>
        <a:blip xmlns:r="http://schemas.openxmlformats.org/officeDocument/2006/relationships" r:embed="rId5" cstate="print"/>
        <a:srcRect/>
        <a:stretch>
          <a:fillRect/>
        </a:stretch>
      </xdr:blipFill>
      <xdr:spPr bwMode="auto">
        <a:xfrm>
          <a:off x="66675" y="295275"/>
          <a:ext cx="895350" cy="228600"/>
        </a:xfrm>
        <a:prstGeom prst="rect">
          <a:avLst/>
        </a:prstGeom>
        <a:noFill/>
        <a:ln w="9525">
          <a:noFill/>
          <a:miter lim="800000"/>
          <a:headEnd/>
          <a:tailEnd/>
        </a:ln>
      </xdr:spPr>
    </xdr:pic>
    <xdr:clientData fPrintsWithSheet="0"/>
  </xdr:twoCellAnchor>
  <xdr:twoCellAnchor editAs="absolute">
    <xdr:from>
      <xdr:col>0</xdr:col>
      <xdr:colOff>66675</xdr:colOff>
      <xdr:row>2</xdr:row>
      <xdr:rowOff>228600</xdr:rowOff>
    </xdr:from>
    <xdr:to>
      <xdr:col>1</xdr:col>
      <xdr:colOff>266700</xdr:colOff>
      <xdr:row>4</xdr:row>
      <xdr:rowOff>38100</xdr:rowOff>
    </xdr:to>
    <xdr:pic>
      <xdr:nvPicPr>
        <xdr:cNvPr id="63556" name="Picture 13">
          <a:hlinkClick xmlns:r="http://schemas.openxmlformats.org/officeDocument/2006/relationships" r:id="rId6" tooltip="Go To Weights Menu"/>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5" y="552450"/>
          <a:ext cx="895350" cy="228600"/>
        </a:xfrm>
        <a:prstGeom prst="rect">
          <a:avLst/>
        </a:prstGeom>
        <a:noFill/>
        <a:ln w="9525">
          <a:noFill/>
          <a:miter lim="800000"/>
          <a:headEnd/>
          <a:tailEnd/>
        </a:ln>
      </xdr:spPr>
    </xdr:pic>
    <xdr:clientData fPrintsWithSheet="0"/>
  </xdr:twoCellAnchor>
  <xdr:twoCellAnchor editAs="absolute">
    <xdr:from>
      <xdr:col>0</xdr:col>
      <xdr:colOff>66675</xdr:colOff>
      <xdr:row>4</xdr:row>
      <xdr:rowOff>38100</xdr:rowOff>
    </xdr:from>
    <xdr:to>
      <xdr:col>1</xdr:col>
      <xdr:colOff>266700</xdr:colOff>
      <xdr:row>5</xdr:row>
      <xdr:rowOff>104775</xdr:rowOff>
    </xdr:to>
    <xdr:pic>
      <xdr:nvPicPr>
        <xdr:cNvPr id="63557" name="Picture 14">
          <a:hlinkClick xmlns:r="http://schemas.openxmlformats.org/officeDocument/2006/relationships" r:id="rId8" tooltip="Go To Tension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781050"/>
          <a:ext cx="895350" cy="228600"/>
        </a:xfrm>
        <a:prstGeom prst="rect">
          <a:avLst/>
        </a:prstGeom>
        <a:noFill/>
        <a:ln w="9525">
          <a:noFill/>
          <a:miter lim="800000"/>
          <a:headEnd/>
          <a:tailEnd/>
        </a:ln>
      </xdr:spPr>
    </xdr:pic>
    <xdr:clientData fPrintsWithSheet="0"/>
  </xdr:twoCellAnchor>
  <xdr:twoCellAnchor editAs="absolute">
    <xdr:from>
      <xdr:col>0</xdr:col>
      <xdr:colOff>66675</xdr:colOff>
      <xdr:row>5</xdr:row>
      <xdr:rowOff>104775</xdr:rowOff>
    </xdr:from>
    <xdr:to>
      <xdr:col>1</xdr:col>
      <xdr:colOff>266700</xdr:colOff>
      <xdr:row>6</xdr:row>
      <xdr:rowOff>57150</xdr:rowOff>
    </xdr:to>
    <xdr:pic>
      <xdr:nvPicPr>
        <xdr:cNvPr id="63558" name="Picture 15">
          <a:hlinkClick xmlns:r="http://schemas.openxmlformats.org/officeDocument/2006/relationships" r:id="rId10" tooltip="Go To Equipment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1009650"/>
          <a:ext cx="895350" cy="228600"/>
        </a:xfrm>
        <a:prstGeom prst="rect">
          <a:avLst/>
        </a:prstGeom>
        <a:noFill/>
        <a:ln w="9525">
          <a:noFill/>
          <a:miter lim="800000"/>
          <a:headEnd/>
          <a:tailEnd/>
        </a:ln>
      </xdr:spPr>
    </xdr:pic>
    <xdr:clientData fPrintsWithSheet="0"/>
  </xdr:twoCellAnchor>
  <xdr:twoCellAnchor editAs="absolute">
    <xdr:from>
      <xdr:col>0</xdr:col>
      <xdr:colOff>114300</xdr:colOff>
      <xdr:row>6</xdr:row>
      <xdr:rowOff>76200</xdr:rowOff>
    </xdr:from>
    <xdr:to>
      <xdr:col>0</xdr:col>
      <xdr:colOff>342900</xdr:colOff>
      <xdr:row>7</xdr:row>
      <xdr:rowOff>104775</xdr:rowOff>
    </xdr:to>
    <xdr:pic>
      <xdr:nvPicPr>
        <xdr:cNvPr id="63559" name="Picture 16" descr="Code Information">
          <a:hlinkClick xmlns:r="http://schemas.openxmlformats.org/officeDocument/2006/relationships" r:id="rId12" tooltip="Code Information"/>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14300" y="1257300"/>
          <a:ext cx="228600" cy="228600"/>
        </a:xfrm>
        <a:prstGeom prst="rect">
          <a:avLst/>
        </a:prstGeom>
        <a:noFill/>
        <a:ln w="9525">
          <a:noFill/>
          <a:miter lim="800000"/>
          <a:headEnd/>
          <a:tailEnd/>
        </a:ln>
      </xdr:spPr>
    </xdr:pic>
    <xdr:clientData fPrintsWithSheet="0"/>
  </xdr:twoCellAnchor>
  <xdr:twoCellAnchor editAs="absolute">
    <xdr:from>
      <xdr:col>0</xdr:col>
      <xdr:colOff>371475</xdr:colOff>
      <xdr:row>6</xdr:row>
      <xdr:rowOff>76200</xdr:rowOff>
    </xdr:from>
    <xdr:to>
      <xdr:col>0</xdr:col>
      <xdr:colOff>600075</xdr:colOff>
      <xdr:row>7</xdr:row>
      <xdr:rowOff>104775</xdr:rowOff>
    </xdr:to>
    <xdr:pic>
      <xdr:nvPicPr>
        <xdr:cNvPr id="63560" name="Picture 17" descr="help">
          <a:hlinkClick xmlns:r="http://schemas.openxmlformats.org/officeDocument/2006/relationships" r:id="rId14" tooltip="Help"/>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71475" y="1257300"/>
          <a:ext cx="228600" cy="228600"/>
        </a:xfrm>
        <a:prstGeom prst="rect">
          <a:avLst/>
        </a:prstGeom>
        <a:noFill/>
        <a:ln w="9525">
          <a:noFill/>
          <a:miter lim="800000"/>
          <a:headEnd/>
          <a:tailEnd/>
        </a:ln>
      </xdr:spPr>
    </xdr:pic>
    <xdr:clientData fPrintsWithSheet="0"/>
  </xdr:twoCellAnchor>
  <xdr:twoCellAnchor editAs="absolute">
    <xdr:from>
      <xdr:col>0</xdr:col>
      <xdr:colOff>638175</xdr:colOff>
      <xdr:row>6</xdr:row>
      <xdr:rowOff>76200</xdr:rowOff>
    </xdr:from>
    <xdr:to>
      <xdr:col>1</xdr:col>
      <xdr:colOff>171450</xdr:colOff>
      <xdr:row>7</xdr:row>
      <xdr:rowOff>104775</xdr:rowOff>
    </xdr:to>
    <xdr:pic>
      <xdr:nvPicPr>
        <xdr:cNvPr id="63561" name="Picture 18" descr="star">
          <a:hlinkClick xmlns:r="http://schemas.openxmlformats.org/officeDocument/2006/relationships" r:id="rId16" tooltip="Conversions"/>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38175" y="1257300"/>
          <a:ext cx="228600" cy="22860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editAs="oneCell">
        <xdr:from>
          <xdr:col>2</xdr:col>
          <xdr:colOff>19050</xdr:colOff>
          <xdr:row>6</xdr:row>
          <xdr:rowOff>190500</xdr:rowOff>
        </xdr:from>
        <xdr:to>
          <xdr:col>3</xdr:col>
          <xdr:colOff>342900</xdr:colOff>
          <xdr:row>8</xdr:row>
          <xdr:rowOff>28575</xdr:rowOff>
        </xdr:to>
        <xdr:sp macro="" textlink="">
          <xdr:nvSpPr>
            <xdr:cNvPr id="63490" name="Drop Down 2" hidden="1">
              <a:extLst>
                <a:ext uri="{63B3BB69-23CF-44E3-9099-C40C66FF867C}">
                  <a14:compatExt spid="_x0000_s63490"/>
                </a:ext>
              </a:extLst>
            </xdr:cNvPr>
            <xdr:cNvSpPr/>
          </xdr:nvSpPr>
          <xdr:spPr>
            <a:xfrm>
              <a:off x="0" y="0"/>
              <a:ext cx="0" cy="0"/>
            </a:xfrm>
            <a:prstGeom prst="rect">
              <a:avLst/>
            </a:prstGeom>
          </xdr:spPr>
        </xdr:sp>
        <xdr:clientData fLocksWithSheet="0"/>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1</xdr:col>
      <xdr:colOff>438150</xdr:colOff>
      <xdr:row>17</xdr:row>
      <xdr:rowOff>19050</xdr:rowOff>
    </xdr:from>
    <xdr:to>
      <xdr:col>5</xdr:col>
      <xdr:colOff>514350</xdr:colOff>
      <xdr:row>24</xdr:row>
      <xdr:rowOff>38100</xdr:rowOff>
    </xdr:to>
    <xdr:sp macro="" textlink="">
      <xdr:nvSpPr>
        <xdr:cNvPr id="16386" name="Text 5"/>
        <xdr:cNvSpPr>
          <a:spLocks noChangeArrowheads="1"/>
        </xdr:cNvSpPr>
      </xdr:nvSpPr>
      <xdr:spPr bwMode="auto">
        <a:xfrm>
          <a:off x="1438275" y="3057525"/>
          <a:ext cx="3724275" cy="11525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en-GB" sz="1000" b="1" i="0" u="none" strike="noStrike" baseline="0">
              <a:solidFill>
                <a:srgbClr val="0000FF"/>
              </a:solidFill>
              <a:latin typeface="Arial"/>
              <a:cs typeface="Arial"/>
            </a:rPr>
            <a:t>This should be used only when the type of shape is not know (ie: WF16 X 40).  It will calculate the approximate weight based on rough field measurements.  The result will always be about 4% to 8% more than the actual weight for a steel beam of the indicated size.  This will ensure that the rigging used will be sufficient.</a:t>
          </a:r>
        </a:p>
      </xdr:txBody>
    </xdr:sp>
    <xdr:clientData/>
  </xdr:twoCellAnchor>
  <xdr:twoCellAnchor editAs="oneCell">
    <xdr:from>
      <xdr:col>1</xdr:col>
      <xdr:colOff>28575</xdr:colOff>
      <xdr:row>0</xdr:row>
      <xdr:rowOff>47625</xdr:rowOff>
    </xdr:from>
    <xdr:to>
      <xdr:col>7</xdr:col>
      <xdr:colOff>371475</xdr:colOff>
      <xdr:row>10</xdr:row>
      <xdr:rowOff>76200</xdr:rowOff>
    </xdr:to>
    <xdr:pic>
      <xdr:nvPicPr>
        <xdr:cNvPr id="16445"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1028700" y="47625"/>
          <a:ext cx="5381625" cy="1647825"/>
        </a:xfrm>
        <a:prstGeom prst="rect">
          <a:avLst/>
        </a:prstGeom>
        <a:noFill/>
        <a:ln w="9525">
          <a:noFill/>
          <a:miter lim="800000"/>
          <a:headEnd/>
          <a:tailEnd/>
        </a:ln>
      </xdr:spPr>
    </xdr:pic>
    <xdr:clientData/>
  </xdr:twoCellAnchor>
  <xdr:twoCellAnchor editAs="absolute">
    <xdr:from>
      <xdr:col>0</xdr:col>
      <xdr:colOff>66675</xdr:colOff>
      <xdr:row>0</xdr:row>
      <xdr:rowOff>47625</xdr:rowOff>
    </xdr:from>
    <xdr:to>
      <xdr:col>0</xdr:col>
      <xdr:colOff>962025</xdr:colOff>
      <xdr:row>1</xdr:row>
      <xdr:rowOff>114300</xdr:rowOff>
    </xdr:to>
    <xdr:pic>
      <xdr:nvPicPr>
        <xdr:cNvPr id="16446" name="Picture 12">
          <a:hlinkClick xmlns:r="http://schemas.openxmlformats.org/officeDocument/2006/relationships" r:id="rId2" tooltip="Return to Main Menu"/>
        </xdr:cNvPr>
        <xdr:cNvPicPr>
          <a:picLocks noChangeAspect="1" noChangeArrowheads="1"/>
        </xdr:cNvPicPr>
      </xdr:nvPicPr>
      <xdr:blipFill>
        <a:blip xmlns:r="http://schemas.openxmlformats.org/officeDocument/2006/relationships" r:embed="rId3" cstate="print"/>
        <a:srcRect/>
        <a:stretch>
          <a:fillRect/>
        </a:stretch>
      </xdr:blipFill>
      <xdr:spPr bwMode="auto">
        <a:xfrm>
          <a:off x="66675" y="47625"/>
          <a:ext cx="895350" cy="228600"/>
        </a:xfrm>
        <a:prstGeom prst="rect">
          <a:avLst/>
        </a:prstGeom>
        <a:noFill/>
        <a:ln w="9525">
          <a:noFill/>
          <a:miter lim="800000"/>
          <a:headEnd/>
          <a:tailEnd/>
        </a:ln>
      </xdr:spPr>
    </xdr:pic>
    <xdr:clientData fPrintsWithSheet="0"/>
  </xdr:twoCellAnchor>
  <xdr:twoCellAnchor editAs="absolute">
    <xdr:from>
      <xdr:col>0</xdr:col>
      <xdr:colOff>66675</xdr:colOff>
      <xdr:row>1</xdr:row>
      <xdr:rowOff>123825</xdr:rowOff>
    </xdr:from>
    <xdr:to>
      <xdr:col>0</xdr:col>
      <xdr:colOff>962025</xdr:colOff>
      <xdr:row>3</xdr:row>
      <xdr:rowOff>28575</xdr:rowOff>
    </xdr:to>
    <xdr:pic>
      <xdr:nvPicPr>
        <xdr:cNvPr id="16447" name="Picture 13">
          <a:hlinkClick xmlns:r="http://schemas.openxmlformats.org/officeDocument/2006/relationships" r:id="rId4" tooltip="Go To Master Index"/>
        </xdr:cNvPr>
        <xdr:cNvPicPr>
          <a:picLocks noChangeAspect="1" noChangeArrowheads="1"/>
        </xdr:cNvPicPr>
      </xdr:nvPicPr>
      <xdr:blipFill>
        <a:blip xmlns:r="http://schemas.openxmlformats.org/officeDocument/2006/relationships" r:embed="rId5" cstate="print"/>
        <a:srcRect/>
        <a:stretch>
          <a:fillRect/>
        </a:stretch>
      </xdr:blipFill>
      <xdr:spPr bwMode="auto">
        <a:xfrm>
          <a:off x="66675" y="285750"/>
          <a:ext cx="895350" cy="228600"/>
        </a:xfrm>
        <a:prstGeom prst="rect">
          <a:avLst/>
        </a:prstGeom>
        <a:noFill/>
        <a:ln w="9525">
          <a:noFill/>
          <a:miter lim="800000"/>
          <a:headEnd/>
          <a:tailEnd/>
        </a:ln>
      </xdr:spPr>
    </xdr:pic>
    <xdr:clientData fPrintsWithSheet="0"/>
  </xdr:twoCellAnchor>
  <xdr:twoCellAnchor editAs="absolute">
    <xdr:from>
      <xdr:col>0</xdr:col>
      <xdr:colOff>66675</xdr:colOff>
      <xdr:row>3</xdr:row>
      <xdr:rowOff>57150</xdr:rowOff>
    </xdr:from>
    <xdr:to>
      <xdr:col>0</xdr:col>
      <xdr:colOff>962025</xdr:colOff>
      <xdr:row>4</xdr:row>
      <xdr:rowOff>123825</xdr:rowOff>
    </xdr:to>
    <xdr:pic>
      <xdr:nvPicPr>
        <xdr:cNvPr id="16448" name="Picture 14">
          <a:hlinkClick xmlns:r="http://schemas.openxmlformats.org/officeDocument/2006/relationships" r:id="rId6" tooltip="Go To Weights Menu"/>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5" y="542925"/>
          <a:ext cx="895350" cy="228600"/>
        </a:xfrm>
        <a:prstGeom prst="rect">
          <a:avLst/>
        </a:prstGeom>
        <a:noFill/>
        <a:ln w="9525">
          <a:noFill/>
          <a:miter lim="800000"/>
          <a:headEnd/>
          <a:tailEnd/>
        </a:ln>
      </xdr:spPr>
    </xdr:pic>
    <xdr:clientData fPrintsWithSheet="0"/>
  </xdr:twoCellAnchor>
  <xdr:twoCellAnchor editAs="absolute">
    <xdr:from>
      <xdr:col>0</xdr:col>
      <xdr:colOff>66675</xdr:colOff>
      <xdr:row>4</xdr:row>
      <xdr:rowOff>123825</xdr:rowOff>
    </xdr:from>
    <xdr:to>
      <xdr:col>0</xdr:col>
      <xdr:colOff>962025</xdr:colOff>
      <xdr:row>6</xdr:row>
      <xdr:rowOff>28575</xdr:rowOff>
    </xdr:to>
    <xdr:pic>
      <xdr:nvPicPr>
        <xdr:cNvPr id="16449" name="Picture 15">
          <a:hlinkClick xmlns:r="http://schemas.openxmlformats.org/officeDocument/2006/relationships" r:id="rId8" tooltip="Go To Tension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771525"/>
          <a:ext cx="895350" cy="228600"/>
        </a:xfrm>
        <a:prstGeom prst="rect">
          <a:avLst/>
        </a:prstGeom>
        <a:noFill/>
        <a:ln w="9525">
          <a:noFill/>
          <a:miter lim="800000"/>
          <a:headEnd/>
          <a:tailEnd/>
        </a:ln>
      </xdr:spPr>
    </xdr:pic>
    <xdr:clientData fPrintsWithSheet="0"/>
  </xdr:twoCellAnchor>
  <xdr:twoCellAnchor editAs="absolute">
    <xdr:from>
      <xdr:col>0</xdr:col>
      <xdr:colOff>66675</xdr:colOff>
      <xdr:row>6</xdr:row>
      <xdr:rowOff>28575</xdr:rowOff>
    </xdr:from>
    <xdr:to>
      <xdr:col>0</xdr:col>
      <xdr:colOff>962025</xdr:colOff>
      <xdr:row>7</xdr:row>
      <xdr:rowOff>95250</xdr:rowOff>
    </xdr:to>
    <xdr:pic>
      <xdr:nvPicPr>
        <xdr:cNvPr id="16450" name="Picture 16">
          <a:hlinkClick xmlns:r="http://schemas.openxmlformats.org/officeDocument/2006/relationships" r:id="rId10" tooltip="Go To Equipment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1000125"/>
          <a:ext cx="895350" cy="228600"/>
        </a:xfrm>
        <a:prstGeom prst="rect">
          <a:avLst/>
        </a:prstGeom>
        <a:noFill/>
        <a:ln w="9525">
          <a:noFill/>
          <a:miter lim="800000"/>
          <a:headEnd/>
          <a:tailEnd/>
        </a:ln>
      </xdr:spPr>
    </xdr:pic>
    <xdr:clientData fPrintsWithSheet="0"/>
  </xdr:twoCellAnchor>
  <xdr:twoCellAnchor editAs="absolute">
    <xdr:from>
      <xdr:col>0</xdr:col>
      <xdr:colOff>114300</xdr:colOff>
      <xdr:row>7</xdr:row>
      <xdr:rowOff>123825</xdr:rowOff>
    </xdr:from>
    <xdr:to>
      <xdr:col>0</xdr:col>
      <xdr:colOff>342900</xdr:colOff>
      <xdr:row>9</xdr:row>
      <xdr:rowOff>28575</xdr:rowOff>
    </xdr:to>
    <xdr:pic>
      <xdr:nvPicPr>
        <xdr:cNvPr id="16451" name="Picture 17" descr="Code Information">
          <a:hlinkClick xmlns:r="http://schemas.openxmlformats.org/officeDocument/2006/relationships" r:id="rId12" tooltip="Code Information"/>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14300" y="1257300"/>
          <a:ext cx="228600" cy="228600"/>
        </a:xfrm>
        <a:prstGeom prst="rect">
          <a:avLst/>
        </a:prstGeom>
        <a:noFill/>
        <a:ln w="9525">
          <a:noFill/>
          <a:miter lim="800000"/>
          <a:headEnd/>
          <a:tailEnd/>
        </a:ln>
      </xdr:spPr>
    </xdr:pic>
    <xdr:clientData fPrintsWithSheet="0"/>
  </xdr:twoCellAnchor>
  <xdr:twoCellAnchor editAs="absolute">
    <xdr:from>
      <xdr:col>0</xdr:col>
      <xdr:colOff>371475</xdr:colOff>
      <xdr:row>7</xdr:row>
      <xdr:rowOff>123825</xdr:rowOff>
    </xdr:from>
    <xdr:to>
      <xdr:col>0</xdr:col>
      <xdr:colOff>600075</xdr:colOff>
      <xdr:row>9</xdr:row>
      <xdr:rowOff>28575</xdr:rowOff>
    </xdr:to>
    <xdr:pic>
      <xdr:nvPicPr>
        <xdr:cNvPr id="16452" name="Picture 18" descr="help">
          <a:hlinkClick xmlns:r="http://schemas.openxmlformats.org/officeDocument/2006/relationships" r:id="rId14" tooltip="Help"/>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71475" y="1257300"/>
          <a:ext cx="228600" cy="228600"/>
        </a:xfrm>
        <a:prstGeom prst="rect">
          <a:avLst/>
        </a:prstGeom>
        <a:noFill/>
        <a:ln w="9525">
          <a:noFill/>
          <a:miter lim="800000"/>
          <a:headEnd/>
          <a:tailEnd/>
        </a:ln>
      </xdr:spPr>
    </xdr:pic>
    <xdr:clientData fPrintsWithSheet="0"/>
  </xdr:twoCellAnchor>
  <xdr:twoCellAnchor editAs="absolute">
    <xdr:from>
      <xdr:col>0</xdr:col>
      <xdr:colOff>638175</xdr:colOff>
      <xdr:row>7</xdr:row>
      <xdr:rowOff>123825</xdr:rowOff>
    </xdr:from>
    <xdr:to>
      <xdr:col>0</xdr:col>
      <xdr:colOff>866775</xdr:colOff>
      <xdr:row>9</xdr:row>
      <xdr:rowOff>28575</xdr:rowOff>
    </xdr:to>
    <xdr:pic>
      <xdr:nvPicPr>
        <xdr:cNvPr id="16453" name="Picture 19" descr="star">
          <a:hlinkClick xmlns:r="http://schemas.openxmlformats.org/officeDocument/2006/relationships" r:id="rId16" tooltip="Conversions"/>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38175" y="1257300"/>
          <a:ext cx="228600" cy="22860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editAs="oneCell">
        <xdr:from>
          <xdr:col>4</xdr:col>
          <xdr:colOff>666750</xdr:colOff>
          <xdr:row>14</xdr:row>
          <xdr:rowOff>0</xdr:rowOff>
        </xdr:from>
        <xdr:to>
          <xdr:col>5</xdr:col>
          <xdr:colOff>771525</xdr:colOff>
          <xdr:row>14</xdr:row>
          <xdr:rowOff>200025</xdr:rowOff>
        </xdr:to>
        <xdr:sp macro="" textlink="">
          <xdr:nvSpPr>
            <xdr:cNvPr id="16390" name="Drop Down 6" hidden="1">
              <a:extLst>
                <a:ext uri="{63B3BB69-23CF-44E3-9099-C40C66FF867C}">
                  <a14:compatExt spid="_x0000_s16390"/>
                </a:ext>
              </a:extLst>
            </xdr:cNvPr>
            <xdr:cNvSpPr/>
          </xdr:nvSpPr>
          <xdr:spPr>
            <a:xfrm>
              <a:off x="0" y="0"/>
              <a:ext cx="0" cy="0"/>
            </a:xfrm>
            <a:prstGeom prst="rect">
              <a:avLst/>
            </a:prstGeom>
          </xdr:spPr>
        </xdr:sp>
        <xdr:clientData fLocksWithSheet="0"/>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0</xdr:col>
      <xdr:colOff>28575</xdr:colOff>
      <xdr:row>10</xdr:row>
      <xdr:rowOff>9525</xdr:rowOff>
    </xdr:from>
    <xdr:to>
      <xdr:col>3</xdr:col>
      <xdr:colOff>295275</xdr:colOff>
      <xdr:row>28</xdr:row>
      <xdr:rowOff>0</xdr:rowOff>
    </xdr:to>
    <xdr:sp macro="" textlink="">
      <xdr:nvSpPr>
        <xdr:cNvPr id="66639" name="Rectangle 9"/>
        <xdr:cNvSpPr>
          <a:spLocks noChangeArrowheads="1"/>
        </xdr:cNvSpPr>
      </xdr:nvSpPr>
      <xdr:spPr bwMode="auto">
        <a:xfrm>
          <a:off x="28575" y="1790700"/>
          <a:ext cx="2505075" cy="3124200"/>
        </a:xfrm>
        <a:prstGeom prst="rect">
          <a:avLst/>
        </a:prstGeom>
        <a:noFill/>
        <a:ln w="19050">
          <a:solidFill>
            <a:srgbClr val="000000"/>
          </a:solidFill>
          <a:miter lim="800000"/>
          <a:headEnd/>
          <a:tailEnd/>
        </a:ln>
      </xdr:spPr>
    </xdr:sp>
    <xdr:clientData/>
  </xdr:twoCellAnchor>
  <xdr:twoCellAnchor editAs="oneCell">
    <xdr:from>
      <xdr:col>7</xdr:col>
      <xdr:colOff>66675</xdr:colOff>
      <xdr:row>21</xdr:row>
      <xdr:rowOff>47625</xdr:rowOff>
    </xdr:from>
    <xdr:to>
      <xdr:col>9</xdr:col>
      <xdr:colOff>133350</xdr:colOff>
      <xdr:row>27</xdr:row>
      <xdr:rowOff>9525</xdr:rowOff>
    </xdr:to>
    <xdr:pic>
      <xdr:nvPicPr>
        <xdr:cNvPr id="66640" name="Picture 3">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5038725" y="3829050"/>
          <a:ext cx="1285875" cy="933450"/>
        </a:xfrm>
        <a:prstGeom prst="rect">
          <a:avLst/>
        </a:prstGeom>
        <a:noFill/>
        <a:ln w="9525">
          <a:noFill/>
          <a:miter lim="800000"/>
          <a:headEnd/>
          <a:tailEnd/>
        </a:ln>
      </xdr:spPr>
    </xdr:pic>
    <xdr:clientData/>
  </xdr:twoCellAnchor>
  <xdr:twoCellAnchor editAs="oneCell">
    <xdr:from>
      <xdr:col>3</xdr:col>
      <xdr:colOff>409575</xdr:colOff>
      <xdr:row>4</xdr:row>
      <xdr:rowOff>85725</xdr:rowOff>
    </xdr:from>
    <xdr:to>
      <xdr:col>11</xdr:col>
      <xdr:colOff>219075</xdr:colOff>
      <xdr:row>19</xdr:row>
      <xdr:rowOff>152400</xdr:rowOff>
    </xdr:to>
    <xdr:pic>
      <xdr:nvPicPr>
        <xdr:cNvPr id="66641"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2647950" y="885825"/>
          <a:ext cx="4981575" cy="2676525"/>
        </a:xfrm>
        <a:prstGeom prst="rect">
          <a:avLst/>
        </a:prstGeom>
        <a:noFill/>
        <a:ln w="9525">
          <a:noFill/>
          <a:miter lim="800000"/>
          <a:headEnd/>
          <a:tailEnd/>
        </a:ln>
      </xdr:spPr>
    </xdr:pic>
    <xdr:clientData/>
  </xdr:twoCellAnchor>
  <xdr:twoCellAnchor editAs="oneCell">
    <xdr:from>
      <xdr:col>3</xdr:col>
      <xdr:colOff>828675</xdr:colOff>
      <xdr:row>21</xdr:row>
      <xdr:rowOff>47625</xdr:rowOff>
    </xdr:from>
    <xdr:to>
      <xdr:col>5</xdr:col>
      <xdr:colOff>600075</xdr:colOff>
      <xdr:row>27</xdr:row>
      <xdr:rowOff>9525</xdr:rowOff>
    </xdr:to>
    <xdr:pic>
      <xdr:nvPicPr>
        <xdr:cNvPr id="66642" name="Picture 6"/>
        <xdr:cNvPicPr>
          <a:picLocks noChangeAspect="1" noChangeArrowheads="1"/>
        </xdr:cNvPicPr>
      </xdr:nvPicPr>
      <xdr:blipFill>
        <a:blip xmlns:r="http://schemas.openxmlformats.org/officeDocument/2006/relationships" r:embed="rId4" cstate="print"/>
        <a:srcRect/>
        <a:stretch>
          <a:fillRect/>
        </a:stretch>
      </xdr:blipFill>
      <xdr:spPr bwMode="auto">
        <a:xfrm>
          <a:off x="3067050" y="3829050"/>
          <a:ext cx="1285875" cy="933450"/>
        </a:xfrm>
        <a:prstGeom prst="rect">
          <a:avLst/>
        </a:prstGeom>
        <a:noFill/>
        <a:ln w="9525">
          <a:noFill/>
          <a:miter lim="800000"/>
          <a:headEnd/>
          <a:tailEnd/>
        </a:ln>
      </xdr:spPr>
    </xdr:pic>
    <xdr:clientData/>
  </xdr:twoCellAnchor>
  <xdr:twoCellAnchor editAs="oneCell">
    <xdr:from>
      <xdr:col>10</xdr:col>
      <xdr:colOff>238125</xdr:colOff>
      <xdr:row>21</xdr:row>
      <xdr:rowOff>57150</xdr:rowOff>
    </xdr:from>
    <xdr:to>
      <xdr:col>12</xdr:col>
      <xdr:colOff>466725</xdr:colOff>
      <xdr:row>27</xdr:row>
      <xdr:rowOff>19050</xdr:rowOff>
    </xdr:to>
    <xdr:pic>
      <xdr:nvPicPr>
        <xdr:cNvPr id="66643" name="Picture 7">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38975" y="3838575"/>
          <a:ext cx="1285875" cy="933450"/>
        </a:xfrm>
        <a:prstGeom prst="rect">
          <a:avLst/>
        </a:prstGeom>
        <a:noFill/>
        <a:ln w="9525">
          <a:noFill/>
          <a:miter lim="800000"/>
          <a:headEnd/>
          <a:tailEnd/>
        </a:ln>
      </xdr:spPr>
    </xdr:pic>
    <xdr:clientData/>
  </xdr:twoCellAnchor>
  <xdr:twoCellAnchor editAs="oneCell">
    <xdr:from>
      <xdr:col>0</xdr:col>
      <xdr:colOff>304800</xdr:colOff>
      <xdr:row>14</xdr:row>
      <xdr:rowOff>180975</xdr:rowOff>
    </xdr:from>
    <xdr:to>
      <xdr:col>2</xdr:col>
      <xdr:colOff>476250</xdr:colOff>
      <xdr:row>27</xdr:row>
      <xdr:rowOff>133350</xdr:rowOff>
    </xdr:to>
    <xdr:pic>
      <xdr:nvPicPr>
        <xdr:cNvPr id="66644" name="Picture 8"/>
        <xdr:cNvPicPr>
          <a:picLocks noChangeAspect="1" noChangeArrowheads="1"/>
        </xdr:cNvPicPr>
      </xdr:nvPicPr>
      <xdr:blipFill>
        <a:blip xmlns:r="http://schemas.openxmlformats.org/officeDocument/2006/relationships" r:embed="rId7" cstate="print"/>
        <a:srcRect/>
        <a:stretch>
          <a:fillRect/>
        </a:stretch>
      </xdr:blipFill>
      <xdr:spPr bwMode="auto">
        <a:xfrm>
          <a:off x="304800" y="2714625"/>
          <a:ext cx="1762125" cy="2171700"/>
        </a:xfrm>
        <a:prstGeom prst="rect">
          <a:avLst/>
        </a:prstGeom>
        <a:noFill/>
        <a:ln w="9525">
          <a:noFill/>
          <a:miter lim="800000"/>
          <a:headEnd/>
          <a:tailEnd/>
        </a:ln>
      </xdr:spPr>
    </xdr:pic>
    <xdr:clientData/>
  </xdr:twoCellAnchor>
  <xdr:twoCellAnchor editAs="absolute">
    <xdr:from>
      <xdr:col>0</xdr:col>
      <xdr:colOff>47625</xdr:colOff>
      <xdr:row>0</xdr:row>
      <xdr:rowOff>28575</xdr:rowOff>
    </xdr:from>
    <xdr:to>
      <xdr:col>0</xdr:col>
      <xdr:colOff>942975</xdr:colOff>
      <xdr:row>1</xdr:row>
      <xdr:rowOff>95250</xdr:rowOff>
    </xdr:to>
    <xdr:pic>
      <xdr:nvPicPr>
        <xdr:cNvPr id="66645" name="Picture 15">
          <a:hlinkClick xmlns:r="http://schemas.openxmlformats.org/officeDocument/2006/relationships" r:id="rId8" tooltip="Return to Main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2857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1</xdr:row>
      <xdr:rowOff>104775</xdr:rowOff>
    </xdr:from>
    <xdr:to>
      <xdr:col>0</xdr:col>
      <xdr:colOff>942975</xdr:colOff>
      <xdr:row>2</xdr:row>
      <xdr:rowOff>38100</xdr:rowOff>
    </xdr:to>
    <xdr:pic>
      <xdr:nvPicPr>
        <xdr:cNvPr id="66646" name="Picture 16">
          <a:hlinkClick xmlns:r="http://schemas.openxmlformats.org/officeDocument/2006/relationships" r:id="rId10" tooltip="Go To Master Index"/>
        </xdr:cNvPr>
        <xdr:cNvPicPr>
          <a:picLocks noChangeAspect="1" noChangeArrowheads="1"/>
        </xdr:cNvPicPr>
      </xdr:nvPicPr>
      <xdr:blipFill>
        <a:blip xmlns:r="http://schemas.openxmlformats.org/officeDocument/2006/relationships" r:embed="rId11" cstate="print"/>
        <a:srcRect/>
        <a:stretch>
          <a:fillRect/>
        </a:stretch>
      </xdr:blipFill>
      <xdr:spPr bwMode="auto">
        <a:xfrm>
          <a:off x="47625" y="266700"/>
          <a:ext cx="895350" cy="228600"/>
        </a:xfrm>
        <a:prstGeom prst="rect">
          <a:avLst/>
        </a:prstGeom>
        <a:noFill/>
        <a:ln w="9525">
          <a:noFill/>
          <a:miter lim="800000"/>
          <a:headEnd/>
          <a:tailEnd/>
        </a:ln>
      </xdr:spPr>
    </xdr:pic>
    <xdr:clientData fPrintsWithSheet="0"/>
  </xdr:twoCellAnchor>
  <xdr:twoCellAnchor editAs="absolute">
    <xdr:from>
      <xdr:col>0</xdr:col>
      <xdr:colOff>47625</xdr:colOff>
      <xdr:row>2</xdr:row>
      <xdr:rowOff>66675</xdr:rowOff>
    </xdr:from>
    <xdr:to>
      <xdr:col>0</xdr:col>
      <xdr:colOff>942975</xdr:colOff>
      <xdr:row>3</xdr:row>
      <xdr:rowOff>133350</xdr:rowOff>
    </xdr:to>
    <xdr:pic>
      <xdr:nvPicPr>
        <xdr:cNvPr id="66647" name="Picture 17">
          <a:hlinkClick xmlns:r="http://schemas.openxmlformats.org/officeDocument/2006/relationships" r:id="rId12" tooltip="Go To Weights Menu"/>
        </xdr:cNvPr>
        <xdr:cNvPicPr>
          <a:picLocks noChangeAspect="1" noChangeArrowheads="1"/>
        </xdr:cNvPicPr>
      </xdr:nvPicPr>
      <xdr:blipFill>
        <a:blip xmlns:r="http://schemas.openxmlformats.org/officeDocument/2006/relationships" r:embed="rId13" cstate="print"/>
        <a:srcRect/>
        <a:stretch>
          <a:fillRect/>
        </a:stretch>
      </xdr:blipFill>
      <xdr:spPr bwMode="auto">
        <a:xfrm>
          <a:off x="47625" y="52387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3</xdr:row>
      <xdr:rowOff>133350</xdr:rowOff>
    </xdr:from>
    <xdr:to>
      <xdr:col>0</xdr:col>
      <xdr:colOff>942975</xdr:colOff>
      <xdr:row>5</xdr:row>
      <xdr:rowOff>19050</xdr:rowOff>
    </xdr:to>
    <xdr:pic>
      <xdr:nvPicPr>
        <xdr:cNvPr id="66648" name="Picture 18">
          <a:hlinkClick xmlns:r="http://schemas.openxmlformats.org/officeDocument/2006/relationships" r:id="rId14" tooltip="Go To Tensions Menu"/>
        </xdr:cNvPr>
        <xdr:cNvPicPr>
          <a:picLocks noChangeAspect="1" noChangeArrowheads="1"/>
        </xdr:cNvPicPr>
      </xdr:nvPicPr>
      <xdr:blipFill>
        <a:blip xmlns:r="http://schemas.openxmlformats.org/officeDocument/2006/relationships" r:embed="rId15" cstate="print"/>
        <a:srcRect/>
        <a:stretch>
          <a:fillRect/>
        </a:stretch>
      </xdr:blipFill>
      <xdr:spPr bwMode="auto">
        <a:xfrm>
          <a:off x="47625" y="75247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5</xdr:row>
      <xdr:rowOff>19050</xdr:rowOff>
    </xdr:from>
    <xdr:to>
      <xdr:col>0</xdr:col>
      <xdr:colOff>942975</xdr:colOff>
      <xdr:row>6</xdr:row>
      <xdr:rowOff>85725</xdr:rowOff>
    </xdr:to>
    <xdr:pic>
      <xdr:nvPicPr>
        <xdr:cNvPr id="66649" name="Picture 19">
          <a:hlinkClick xmlns:r="http://schemas.openxmlformats.org/officeDocument/2006/relationships" r:id="rId16" tooltip="Go To Equipment Menu"/>
        </xdr:cNvPr>
        <xdr:cNvPicPr>
          <a:picLocks noChangeAspect="1" noChangeArrowheads="1"/>
        </xdr:cNvPicPr>
      </xdr:nvPicPr>
      <xdr:blipFill>
        <a:blip xmlns:r="http://schemas.openxmlformats.org/officeDocument/2006/relationships" r:embed="rId17" cstate="print"/>
        <a:srcRect/>
        <a:stretch>
          <a:fillRect/>
        </a:stretch>
      </xdr:blipFill>
      <xdr:spPr bwMode="auto">
        <a:xfrm>
          <a:off x="47625" y="981075"/>
          <a:ext cx="895350" cy="228600"/>
        </a:xfrm>
        <a:prstGeom prst="rect">
          <a:avLst/>
        </a:prstGeom>
        <a:noFill/>
        <a:ln w="9525">
          <a:noFill/>
          <a:miter lim="800000"/>
          <a:headEnd/>
          <a:tailEnd/>
        </a:ln>
      </xdr:spPr>
    </xdr:pic>
    <xdr:clientData fPrintsWithSheet="0"/>
  </xdr:twoCellAnchor>
  <xdr:twoCellAnchor editAs="absolute">
    <xdr:from>
      <xdr:col>0</xdr:col>
      <xdr:colOff>95250</xdr:colOff>
      <xdr:row>6</xdr:row>
      <xdr:rowOff>142875</xdr:rowOff>
    </xdr:from>
    <xdr:to>
      <xdr:col>0</xdr:col>
      <xdr:colOff>323850</xdr:colOff>
      <xdr:row>8</xdr:row>
      <xdr:rowOff>47625</xdr:rowOff>
    </xdr:to>
    <xdr:pic>
      <xdr:nvPicPr>
        <xdr:cNvPr id="66650" name="Picture 20" descr="Code Information">
          <a:hlinkClick xmlns:r="http://schemas.openxmlformats.org/officeDocument/2006/relationships" r:id="rId18" tooltip="Code Information"/>
        </xdr:cNvPr>
        <xdr:cNvPicPr>
          <a:picLocks noChangeAspect="1" noChangeArrowheads="1"/>
        </xdr:cNvPicPr>
      </xdr:nvPicPr>
      <xdr:blipFill>
        <a:blip xmlns:r="http://schemas.openxmlformats.org/officeDocument/2006/relationships" r:embed="rId19" cstate="print"/>
        <a:srcRect/>
        <a:stretch>
          <a:fillRect/>
        </a:stretch>
      </xdr:blipFill>
      <xdr:spPr bwMode="auto">
        <a:xfrm>
          <a:off x="95250" y="1266825"/>
          <a:ext cx="228600" cy="228600"/>
        </a:xfrm>
        <a:prstGeom prst="rect">
          <a:avLst/>
        </a:prstGeom>
        <a:noFill/>
        <a:ln w="9525">
          <a:noFill/>
          <a:miter lim="800000"/>
          <a:headEnd/>
          <a:tailEnd/>
        </a:ln>
      </xdr:spPr>
    </xdr:pic>
    <xdr:clientData fPrintsWithSheet="0"/>
  </xdr:twoCellAnchor>
  <xdr:twoCellAnchor editAs="absolute">
    <xdr:from>
      <xdr:col>0</xdr:col>
      <xdr:colOff>352425</xdr:colOff>
      <xdr:row>6</xdr:row>
      <xdr:rowOff>142875</xdr:rowOff>
    </xdr:from>
    <xdr:to>
      <xdr:col>0</xdr:col>
      <xdr:colOff>581025</xdr:colOff>
      <xdr:row>8</xdr:row>
      <xdr:rowOff>47625</xdr:rowOff>
    </xdr:to>
    <xdr:pic>
      <xdr:nvPicPr>
        <xdr:cNvPr id="66651" name="Picture 21" descr="help">
          <a:hlinkClick xmlns:r="http://schemas.openxmlformats.org/officeDocument/2006/relationships" r:id="rId20" tooltip="Help"/>
        </xdr:cNvPr>
        <xdr:cNvPicPr>
          <a:picLocks noChangeAspect="1" noChangeArrowheads="1"/>
        </xdr:cNvPicPr>
      </xdr:nvPicPr>
      <xdr:blipFill>
        <a:blip xmlns:r="http://schemas.openxmlformats.org/officeDocument/2006/relationships" r:embed="rId21" cstate="print"/>
        <a:srcRect/>
        <a:stretch>
          <a:fillRect/>
        </a:stretch>
      </xdr:blipFill>
      <xdr:spPr bwMode="auto">
        <a:xfrm>
          <a:off x="352425" y="1266825"/>
          <a:ext cx="228600" cy="228600"/>
        </a:xfrm>
        <a:prstGeom prst="rect">
          <a:avLst/>
        </a:prstGeom>
        <a:noFill/>
        <a:ln w="9525">
          <a:noFill/>
          <a:miter lim="800000"/>
          <a:headEnd/>
          <a:tailEnd/>
        </a:ln>
      </xdr:spPr>
    </xdr:pic>
    <xdr:clientData fPrintsWithSheet="0"/>
  </xdr:twoCellAnchor>
  <xdr:twoCellAnchor editAs="absolute">
    <xdr:from>
      <xdr:col>0</xdr:col>
      <xdr:colOff>619125</xdr:colOff>
      <xdr:row>6</xdr:row>
      <xdr:rowOff>142875</xdr:rowOff>
    </xdr:from>
    <xdr:to>
      <xdr:col>0</xdr:col>
      <xdr:colOff>847725</xdr:colOff>
      <xdr:row>8</xdr:row>
      <xdr:rowOff>47625</xdr:rowOff>
    </xdr:to>
    <xdr:pic>
      <xdr:nvPicPr>
        <xdr:cNvPr id="66652" name="Picture 22" descr="star">
          <a:hlinkClick xmlns:r="http://schemas.openxmlformats.org/officeDocument/2006/relationships" r:id="rId22" tooltip="Conversions"/>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19125" y="1266825"/>
          <a:ext cx="228600" cy="228600"/>
        </a:xfrm>
        <a:prstGeom prst="rect">
          <a:avLst/>
        </a:prstGeom>
        <a:noFill/>
        <a:ln w="9525">
          <a:noFill/>
          <a:miter lim="800000"/>
          <a:headEnd/>
          <a:tailEnd/>
        </a:ln>
      </xdr:spPr>
    </xdr:pic>
    <xdr:clientData fPrintsWithSheet="0"/>
  </xdr:twoCellAnchor>
</xdr:wsDr>
</file>

<file path=xl/drawings/drawing28.xml><?xml version="1.0" encoding="utf-8"?>
<xdr:wsDr xmlns:xdr="http://schemas.openxmlformats.org/drawingml/2006/spreadsheetDrawing" xmlns:a="http://schemas.openxmlformats.org/drawingml/2006/main">
  <xdr:twoCellAnchor editAs="oneCell">
    <xdr:from>
      <xdr:col>3</xdr:col>
      <xdr:colOff>828675</xdr:colOff>
      <xdr:row>21</xdr:row>
      <xdr:rowOff>47625</xdr:rowOff>
    </xdr:from>
    <xdr:to>
      <xdr:col>5</xdr:col>
      <xdr:colOff>600075</xdr:colOff>
      <xdr:row>27</xdr:row>
      <xdr:rowOff>9525</xdr:rowOff>
    </xdr:to>
    <xdr:pic>
      <xdr:nvPicPr>
        <xdr:cNvPr id="65615" name="Picture 4">
          <a:hlinkClick xmlns:r="http://schemas.openxmlformats.org/officeDocument/2006/relationships" r:id="rId1" tooltip="Solve for a"/>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67050" y="3829050"/>
          <a:ext cx="1285875" cy="933450"/>
        </a:xfrm>
        <a:prstGeom prst="rect">
          <a:avLst/>
        </a:prstGeom>
        <a:noFill/>
        <a:ln w="9525">
          <a:noFill/>
          <a:miter lim="800000"/>
          <a:headEnd/>
          <a:tailEnd/>
        </a:ln>
      </xdr:spPr>
    </xdr:pic>
    <xdr:clientData/>
  </xdr:twoCellAnchor>
  <xdr:twoCellAnchor editAs="oneCell">
    <xdr:from>
      <xdr:col>10</xdr:col>
      <xdr:colOff>228600</xdr:colOff>
      <xdr:row>21</xdr:row>
      <xdr:rowOff>57150</xdr:rowOff>
    </xdr:from>
    <xdr:to>
      <xdr:col>12</xdr:col>
      <xdr:colOff>457200</xdr:colOff>
      <xdr:row>27</xdr:row>
      <xdr:rowOff>19050</xdr:rowOff>
    </xdr:to>
    <xdr:pic>
      <xdr:nvPicPr>
        <xdr:cNvPr id="65616" name="Picture 5">
          <a:hlinkClick xmlns:r="http://schemas.openxmlformats.org/officeDocument/2006/relationships" r:id="rId3" tooltip="solve for c"/>
        </xdr:cNvPr>
        <xdr:cNvPicPr>
          <a:picLocks noChangeAspect="1" noChangeArrowheads="1"/>
        </xdr:cNvPicPr>
      </xdr:nvPicPr>
      <xdr:blipFill>
        <a:blip xmlns:r="http://schemas.openxmlformats.org/officeDocument/2006/relationships" r:embed="rId4" cstate="print"/>
        <a:srcRect/>
        <a:stretch>
          <a:fillRect/>
        </a:stretch>
      </xdr:blipFill>
      <xdr:spPr bwMode="auto">
        <a:xfrm>
          <a:off x="7029450" y="3838575"/>
          <a:ext cx="1285875" cy="933450"/>
        </a:xfrm>
        <a:prstGeom prst="rect">
          <a:avLst/>
        </a:prstGeom>
        <a:noFill/>
        <a:ln w="9525">
          <a:noFill/>
          <a:miter lim="800000"/>
          <a:headEnd/>
          <a:tailEnd/>
        </a:ln>
      </xdr:spPr>
    </xdr:pic>
    <xdr:clientData/>
  </xdr:twoCellAnchor>
  <xdr:twoCellAnchor editAs="oneCell">
    <xdr:from>
      <xdr:col>7</xdr:col>
      <xdr:colOff>66675</xdr:colOff>
      <xdr:row>21</xdr:row>
      <xdr:rowOff>47625</xdr:rowOff>
    </xdr:from>
    <xdr:to>
      <xdr:col>9</xdr:col>
      <xdr:colOff>133350</xdr:colOff>
      <xdr:row>27</xdr:row>
      <xdr:rowOff>9525</xdr:rowOff>
    </xdr:to>
    <xdr:pic>
      <xdr:nvPicPr>
        <xdr:cNvPr id="65617"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5038725" y="3829050"/>
          <a:ext cx="1285875" cy="933450"/>
        </a:xfrm>
        <a:prstGeom prst="rect">
          <a:avLst/>
        </a:prstGeom>
        <a:noFill/>
        <a:ln w="9525">
          <a:noFill/>
          <a:miter lim="800000"/>
          <a:headEnd/>
          <a:tailEnd/>
        </a:ln>
      </xdr:spPr>
    </xdr:pic>
    <xdr:clientData/>
  </xdr:twoCellAnchor>
  <xdr:twoCellAnchor editAs="oneCell">
    <xdr:from>
      <xdr:col>3</xdr:col>
      <xdr:colOff>400050</xdr:colOff>
      <xdr:row>4</xdr:row>
      <xdr:rowOff>95250</xdr:rowOff>
    </xdr:from>
    <xdr:to>
      <xdr:col>11</xdr:col>
      <xdr:colOff>209550</xdr:colOff>
      <xdr:row>19</xdr:row>
      <xdr:rowOff>161925</xdr:rowOff>
    </xdr:to>
    <xdr:pic>
      <xdr:nvPicPr>
        <xdr:cNvPr id="65618" name="Picture 7"/>
        <xdr:cNvPicPr>
          <a:picLocks noChangeAspect="1" noChangeArrowheads="1"/>
        </xdr:cNvPicPr>
      </xdr:nvPicPr>
      <xdr:blipFill>
        <a:blip xmlns:r="http://schemas.openxmlformats.org/officeDocument/2006/relationships" r:embed="rId6" cstate="print"/>
        <a:srcRect/>
        <a:stretch>
          <a:fillRect/>
        </a:stretch>
      </xdr:blipFill>
      <xdr:spPr bwMode="auto">
        <a:xfrm>
          <a:off x="2638425" y="895350"/>
          <a:ext cx="4981575" cy="2676525"/>
        </a:xfrm>
        <a:prstGeom prst="rect">
          <a:avLst/>
        </a:prstGeom>
        <a:noFill/>
        <a:ln w="9525">
          <a:noFill/>
          <a:miter lim="800000"/>
          <a:headEnd/>
          <a:tailEnd/>
        </a:ln>
      </xdr:spPr>
    </xdr:pic>
    <xdr:clientData/>
  </xdr:twoCellAnchor>
  <xdr:twoCellAnchor>
    <xdr:from>
      <xdr:col>0</xdr:col>
      <xdr:colOff>28575</xdr:colOff>
      <xdr:row>10</xdr:row>
      <xdr:rowOff>9525</xdr:rowOff>
    </xdr:from>
    <xdr:to>
      <xdr:col>3</xdr:col>
      <xdr:colOff>295275</xdr:colOff>
      <xdr:row>28</xdr:row>
      <xdr:rowOff>9525</xdr:rowOff>
    </xdr:to>
    <xdr:sp macro="" textlink="">
      <xdr:nvSpPr>
        <xdr:cNvPr id="65619" name="Rectangle 8"/>
        <xdr:cNvSpPr>
          <a:spLocks noChangeArrowheads="1"/>
        </xdr:cNvSpPr>
      </xdr:nvSpPr>
      <xdr:spPr bwMode="auto">
        <a:xfrm>
          <a:off x="28575" y="1790700"/>
          <a:ext cx="2505075" cy="3133725"/>
        </a:xfrm>
        <a:prstGeom prst="rect">
          <a:avLst/>
        </a:prstGeom>
        <a:noFill/>
        <a:ln w="19050">
          <a:solidFill>
            <a:srgbClr val="000000"/>
          </a:solidFill>
          <a:miter lim="800000"/>
          <a:headEnd/>
          <a:tailEnd/>
        </a:ln>
      </xdr:spPr>
    </xdr:sp>
    <xdr:clientData/>
  </xdr:twoCellAnchor>
  <xdr:twoCellAnchor editAs="oneCell">
    <xdr:from>
      <xdr:col>0</xdr:col>
      <xdr:colOff>304800</xdr:colOff>
      <xdr:row>14</xdr:row>
      <xdr:rowOff>180975</xdr:rowOff>
    </xdr:from>
    <xdr:to>
      <xdr:col>2</xdr:col>
      <xdr:colOff>476250</xdr:colOff>
      <xdr:row>27</xdr:row>
      <xdr:rowOff>133350</xdr:rowOff>
    </xdr:to>
    <xdr:pic>
      <xdr:nvPicPr>
        <xdr:cNvPr id="65620" name="Picture 9"/>
        <xdr:cNvPicPr>
          <a:picLocks noChangeAspect="1" noChangeArrowheads="1"/>
        </xdr:cNvPicPr>
      </xdr:nvPicPr>
      <xdr:blipFill>
        <a:blip xmlns:r="http://schemas.openxmlformats.org/officeDocument/2006/relationships" r:embed="rId7" cstate="print"/>
        <a:srcRect/>
        <a:stretch>
          <a:fillRect/>
        </a:stretch>
      </xdr:blipFill>
      <xdr:spPr bwMode="auto">
        <a:xfrm>
          <a:off x="304800" y="2714625"/>
          <a:ext cx="1762125" cy="2171700"/>
        </a:xfrm>
        <a:prstGeom prst="rect">
          <a:avLst/>
        </a:prstGeom>
        <a:noFill/>
        <a:ln w="9525">
          <a:noFill/>
          <a:miter lim="800000"/>
          <a:headEnd/>
          <a:tailEnd/>
        </a:ln>
      </xdr:spPr>
    </xdr:pic>
    <xdr:clientData/>
  </xdr:twoCellAnchor>
  <xdr:twoCellAnchor editAs="absolute">
    <xdr:from>
      <xdr:col>0</xdr:col>
      <xdr:colOff>47625</xdr:colOff>
      <xdr:row>0</xdr:row>
      <xdr:rowOff>47625</xdr:rowOff>
    </xdr:from>
    <xdr:to>
      <xdr:col>0</xdr:col>
      <xdr:colOff>942975</xdr:colOff>
      <xdr:row>1</xdr:row>
      <xdr:rowOff>114300</xdr:rowOff>
    </xdr:to>
    <xdr:pic>
      <xdr:nvPicPr>
        <xdr:cNvPr id="65621" name="Picture 15">
          <a:hlinkClick xmlns:r="http://schemas.openxmlformats.org/officeDocument/2006/relationships" r:id="rId8" tooltip="Return to Main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4762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1</xdr:row>
      <xdr:rowOff>123825</xdr:rowOff>
    </xdr:from>
    <xdr:to>
      <xdr:col>0</xdr:col>
      <xdr:colOff>942975</xdr:colOff>
      <xdr:row>2</xdr:row>
      <xdr:rowOff>57150</xdr:rowOff>
    </xdr:to>
    <xdr:pic>
      <xdr:nvPicPr>
        <xdr:cNvPr id="65622" name="Picture 16">
          <a:hlinkClick xmlns:r="http://schemas.openxmlformats.org/officeDocument/2006/relationships" r:id="rId10" tooltip="Go To Master Index"/>
        </xdr:cNvPr>
        <xdr:cNvPicPr>
          <a:picLocks noChangeAspect="1" noChangeArrowheads="1"/>
        </xdr:cNvPicPr>
      </xdr:nvPicPr>
      <xdr:blipFill>
        <a:blip xmlns:r="http://schemas.openxmlformats.org/officeDocument/2006/relationships" r:embed="rId11" cstate="print"/>
        <a:srcRect/>
        <a:stretch>
          <a:fillRect/>
        </a:stretch>
      </xdr:blipFill>
      <xdr:spPr bwMode="auto">
        <a:xfrm>
          <a:off x="47625" y="285750"/>
          <a:ext cx="895350" cy="228600"/>
        </a:xfrm>
        <a:prstGeom prst="rect">
          <a:avLst/>
        </a:prstGeom>
        <a:noFill/>
        <a:ln w="9525">
          <a:noFill/>
          <a:miter lim="800000"/>
          <a:headEnd/>
          <a:tailEnd/>
        </a:ln>
      </xdr:spPr>
    </xdr:pic>
    <xdr:clientData fPrintsWithSheet="0"/>
  </xdr:twoCellAnchor>
  <xdr:twoCellAnchor editAs="absolute">
    <xdr:from>
      <xdr:col>0</xdr:col>
      <xdr:colOff>47625</xdr:colOff>
      <xdr:row>2</xdr:row>
      <xdr:rowOff>85725</xdr:rowOff>
    </xdr:from>
    <xdr:to>
      <xdr:col>0</xdr:col>
      <xdr:colOff>942975</xdr:colOff>
      <xdr:row>3</xdr:row>
      <xdr:rowOff>152400</xdr:rowOff>
    </xdr:to>
    <xdr:pic>
      <xdr:nvPicPr>
        <xdr:cNvPr id="65623" name="Picture 17">
          <a:hlinkClick xmlns:r="http://schemas.openxmlformats.org/officeDocument/2006/relationships" r:id="rId12" tooltip="Go To Weights Menu"/>
        </xdr:cNvPr>
        <xdr:cNvPicPr>
          <a:picLocks noChangeAspect="1" noChangeArrowheads="1"/>
        </xdr:cNvPicPr>
      </xdr:nvPicPr>
      <xdr:blipFill>
        <a:blip xmlns:r="http://schemas.openxmlformats.org/officeDocument/2006/relationships" r:embed="rId13" cstate="print"/>
        <a:srcRect/>
        <a:stretch>
          <a:fillRect/>
        </a:stretch>
      </xdr:blipFill>
      <xdr:spPr bwMode="auto">
        <a:xfrm>
          <a:off x="47625" y="54292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3</xdr:row>
      <xdr:rowOff>152400</xdr:rowOff>
    </xdr:from>
    <xdr:to>
      <xdr:col>0</xdr:col>
      <xdr:colOff>942975</xdr:colOff>
      <xdr:row>5</xdr:row>
      <xdr:rowOff>38100</xdr:rowOff>
    </xdr:to>
    <xdr:pic>
      <xdr:nvPicPr>
        <xdr:cNvPr id="65624" name="Picture 18">
          <a:hlinkClick xmlns:r="http://schemas.openxmlformats.org/officeDocument/2006/relationships" r:id="rId14" tooltip="Go To Tensions Menu"/>
        </xdr:cNvPr>
        <xdr:cNvPicPr>
          <a:picLocks noChangeAspect="1" noChangeArrowheads="1"/>
        </xdr:cNvPicPr>
      </xdr:nvPicPr>
      <xdr:blipFill>
        <a:blip xmlns:r="http://schemas.openxmlformats.org/officeDocument/2006/relationships" r:embed="rId15" cstate="print"/>
        <a:srcRect/>
        <a:stretch>
          <a:fillRect/>
        </a:stretch>
      </xdr:blipFill>
      <xdr:spPr bwMode="auto">
        <a:xfrm>
          <a:off x="47625" y="77152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5</xdr:row>
      <xdr:rowOff>38100</xdr:rowOff>
    </xdr:from>
    <xdr:to>
      <xdr:col>0</xdr:col>
      <xdr:colOff>942975</xdr:colOff>
      <xdr:row>6</xdr:row>
      <xdr:rowOff>104775</xdr:rowOff>
    </xdr:to>
    <xdr:pic>
      <xdr:nvPicPr>
        <xdr:cNvPr id="65625" name="Picture 19">
          <a:hlinkClick xmlns:r="http://schemas.openxmlformats.org/officeDocument/2006/relationships" r:id="rId16" tooltip="Go To Equipment Menu"/>
        </xdr:cNvPr>
        <xdr:cNvPicPr>
          <a:picLocks noChangeAspect="1" noChangeArrowheads="1"/>
        </xdr:cNvPicPr>
      </xdr:nvPicPr>
      <xdr:blipFill>
        <a:blip xmlns:r="http://schemas.openxmlformats.org/officeDocument/2006/relationships" r:embed="rId17" cstate="print"/>
        <a:srcRect/>
        <a:stretch>
          <a:fillRect/>
        </a:stretch>
      </xdr:blipFill>
      <xdr:spPr bwMode="auto">
        <a:xfrm>
          <a:off x="47625" y="1000125"/>
          <a:ext cx="895350" cy="228600"/>
        </a:xfrm>
        <a:prstGeom prst="rect">
          <a:avLst/>
        </a:prstGeom>
        <a:noFill/>
        <a:ln w="9525">
          <a:noFill/>
          <a:miter lim="800000"/>
          <a:headEnd/>
          <a:tailEnd/>
        </a:ln>
      </xdr:spPr>
    </xdr:pic>
    <xdr:clientData fPrintsWithSheet="0"/>
  </xdr:twoCellAnchor>
  <xdr:twoCellAnchor editAs="absolute">
    <xdr:from>
      <xdr:col>0</xdr:col>
      <xdr:colOff>95250</xdr:colOff>
      <xdr:row>6</xdr:row>
      <xdr:rowOff>133350</xdr:rowOff>
    </xdr:from>
    <xdr:to>
      <xdr:col>0</xdr:col>
      <xdr:colOff>323850</xdr:colOff>
      <xdr:row>8</xdr:row>
      <xdr:rowOff>38100</xdr:rowOff>
    </xdr:to>
    <xdr:pic>
      <xdr:nvPicPr>
        <xdr:cNvPr id="65626" name="Picture 20" descr="Code Information">
          <a:hlinkClick xmlns:r="http://schemas.openxmlformats.org/officeDocument/2006/relationships" r:id="rId18" tooltip="Code Information"/>
        </xdr:cNvPr>
        <xdr:cNvPicPr>
          <a:picLocks noChangeAspect="1" noChangeArrowheads="1"/>
        </xdr:cNvPicPr>
      </xdr:nvPicPr>
      <xdr:blipFill>
        <a:blip xmlns:r="http://schemas.openxmlformats.org/officeDocument/2006/relationships" r:embed="rId19" cstate="print"/>
        <a:srcRect/>
        <a:stretch>
          <a:fillRect/>
        </a:stretch>
      </xdr:blipFill>
      <xdr:spPr bwMode="auto">
        <a:xfrm>
          <a:off x="95250" y="1257300"/>
          <a:ext cx="228600" cy="228600"/>
        </a:xfrm>
        <a:prstGeom prst="rect">
          <a:avLst/>
        </a:prstGeom>
        <a:noFill/>
        <a:ln w="9525">
          <a:noFill/>
          <a:miter lim="800000"/>
          <a:headEnd/>
          <a:tailEnd/>
        </a:ln>
      </xdr:spPr>
    </xdr:pic>
    <xdr:clientData fPrintsWithSheet="0"/>
  </xdr:twoCellAnchor>
  <xdr:twoCellAnchor editAs="absolute">
    <xdr:from>
      <xdr:col>0</xdr:col>
      <xdr:colOff>352425</xdr:colOff>
      <xdr:row>6</xdr:row>
      <xdr:rowOff>133350</xdr:rowOff>
    </xdr:from>
    <xdr:to>
      <xdr:col>0</xdr:col>
      <xdr:colOff>581025</xdr:colOff>
      <xdr:row>8</xdr:row>
      <xdr:rowOff>38100</xdr:rowOff>
    </xdr:to>
    <xdr:pic>
      <xdr:nvPicPr>
        <xdr:cNvPr id="65627" name="Picture 21" descr="help">
          <a:hlinkClick xmlns:r="http://schemas.openxmlformats.org/officeDocument/2006/relationships" r:id="rId20" tooltip="Help"/>
        </xdr:cNvPr>
        <xdr:cNvPicPr>
          <a:picLocks noChangeAspect="1" noChangeArrowheads="1"/>
        </xdr:cNvPicPr>
      </xdr:nvPicPr>
      <xdr:blipFill>
        <a:blip xmlns:r="http://schemas.openxmlformats.org/officeDocument/2006/relationships" r:embed="rId21" cstate="print"/>
        <a:srcRect/>
        <a:stretch>
          <a:fillRect/>
        </a:stretch>
      </xdr:blipFill>
      <xdr:spPr bwMode="auto">
        <a:xfrm>
          <a:off x="352425" y="1257300"/>
          <a:ext cx="228600" cy="228600"/>
        </a:xfrm>
        <a:prstGeom prst="rect">
          <a:avLst/>
        </a:prstGeom>
        <a:noFill/>
        <a:ln w="9525">
          <a:noFill/>
          <a:miter lim="800000"/>
          <a:headEnd/>
          <a:tailEnd/>
        </a:ln>
      </xdr:spPr>
    </xdr:pic>
    <xdr:clientData fPrintsWithSheet="0"/>
  </xdr:twoCellAnchor>
  <xdr:twoCellAnchor editAs="absolute">
    <xdr:from>
      <xdr:col>0</xdr:col>
      <xdr:colOff>619125</xdr:colOff>
      <xdr:row>6</xdr:row>
      <xdr:rowOff>133350</xdr:rowOff>
    </xdr:from>
    <xdr:to>
      <xdr:col>0</xdr:col>
      <xdr:colOff>847725</xdr:colOff>
      <xdr:row>8</xdr:row>
      <xdr:rowOff>38100</xdr:rowOff>
    </xdr:to>
    <xdr:pic>
      <xdr:nvPicPr>
        <xdr:cNvPr id="65628" name="Picture 22" descr="star">
          <a:hlinkClick xmlns:r="http://schemas.openxmlformats.org/officeDocument/2006/relationships" r:id="rId22" tooltip="Conversions"/>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19125" y="1257300"/>
          <a:ext cx="228600" cy="228600"/>
        </a:xfrm>
        <a:prstGeom prst="rect">
          <a:avLst/>
        </a:prstGeom>
        <a:noFill/>
        <a:ln w="9525">
          <a:noFill/>
          <a:miter lim="800000"/>
          <a:headEnd/>
          <a:tailEnd/>
        </a:ln>
      </xdr:spPr>
    </xdr:pic>
    <xdr:clientData fPrintsWithSheet="0"/>
  </xdr:twoCellAnchor>
</xdr:wsDr>
</file>

<file path=xl/drawings/drawing29.xml><?xml version="1.0" encoding="utf-8"?>
<xdr:wsDr xmlns:xdr="http://schemas.openxmlformats.org/drawingml/2006/spreadsheetDrawing" xmlns:a="http://schemas.openxmlformats.org/drawingml/2006/main">
  <xdr:twoCellAnchor editAs="oneCell">
    <xdr:from>
      <xdr:col>3</xdr:col>
      <xdr:colOff>428625</xdr:colOff>
      <xdr:row>4</xdr:row>
      <xdr:rowOff>104775</xdr:rowOff>
    </xdr:from>
    <xdr:to>
      <xdr:col>11</xdr:col>
      <xdr:colOff>238125</xdr:colOff>
      <xdr:row>19</xdr:row>
      <xdr:rowOff>171450</xdr:rowOff>
    </xdr:to>
    <xdr:pic>
      <xdr:nvPicPr>
        <xdr:cNvPr id="64606" name="Picture 16"/>
        <xdr:cNvPicPr>
          <a:picLocks noChangeAspect="1" noChangeArrowheads="1"/>
        </xdr:cNvPicPr>
      </xdr:nvPicPr>
      <xdr:blipFill>
        <a:blip xmlns:r="http://schemas.openxmlformats.org/officeDocument/2006/relationships" r:embed="rId1" cstate="print"/>
        <a:srcRect/>
        <a:stretch>
          <a:fillRect/>
        </a:stretch>
      </xdr:blipFill>
      <xdr:spPr bwMode="auto">
        <a:xfrm>
          <a:off x="2667000" y="904875"/>
          <a:ext cx="4981575" cy="2676525"/>
        </a:xfrm>
        <a:prstGeom prst="rect">
          <a:avLst/>
        </a:prstGeom>
        <a:noFill/>
        <a:ln w="9525">
          <a:noFill/>
          <a:miter lim="800000"/>
          <a:headEnd/>
          <a:tailEnd/>
        </a:ln>
      </xdr:spPr>
    </xdr:pic>
    <xdr:clientData/>
  </xdr:twoCellAnchor>
  <xdr:twoCellAnchor editAs="oneCell">
    <xdr:from>
      <xdr:col>10</xdr:col>
      <xdr:colOff>228600</xdr:colOff>
      <xdr:row>21</xdr:row>
      <xdr:rowOff>66675</xdr:rowOff>
    </xdr:from>
    <xdr:to>
      <xdr:col>12</xdr:col>
      <xdr:colOff>457200</xdr:colOff>
      <xdr:row>27</xdr:row>
      <xdr:rowOff>28575</xdr:rowOff>
    </xdr:to>
    <xdr:pic>
      <xdr:nvPicPr>
        <xdr:cNvPr id="64607" name="Picture 20"/>
        <xdr:cNvPicPr>
          <a:picLocks noChangeAspect="1" noChangeArrowheads="1"/>
        </xdr:cNvPicPr>
      </xdr:nvPicPr>
      <xdr:blipFill>
        <a:blip xmlns:r="http://schemas.openxmlformats.org/officeDocument/2006/relationships" r:embed="rId2" cstate="print"/>
        <a:srcRect/>
        <a:stretch>
          <a:fillRect/>
        </a:stretch>
      </xdr:blipFill>
      <xdr:spPr bwMode="auto">
        <a:xfrm>
          <a:off x="7029450" y="3848100"/>
          <a:ext cx="1285875" cy="933450"/>
        </a:xfrm>
        <a:prstGeom prst="rect">
          <a:avLst/>
        </a:prstGeom>
        <a:noFill/>
        <a:ln w="9525">
          <a:noFill/>
          <a:miter lim="800000"/>
          <a:headEnd/>
          <a:tailEnd/>
        </a:ln>
      </xdr:spPr>
    </xdr:pic>
    <xdr:clientData/>
  </xdr:twoCellAnchor>
  <xdr:twoCellAnchor editAs="oneCell">
    <xdr:from>
      <xdr:col>7</xdr:col>
      <xdr:colOff>66675</xdr:colOff>
      <xdr:row>21</xdr:row>
      <xdr:rowOff>57150</xdr:rowOff>
    </xdr:from>
    <xdr:to>
      <xdr:col>9</xdr:col>
      <xdr:colOff>133350</xdr:colOff>
      <xdr:row>27</xdr:row>
      <xdr:rowOff>19050</xdr:rowOff>
    </xdr:to>
    <xdr:pic>
      <xdr:nvPicPr>
        <xdr:cNvPr id="64608" name="Picture 21">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5038725" y="3838575"/>
          <a:ext cx="1285875" cy="933450"/>
        </a:xfrm>
        <a:prstGeom prst="rect">
          <a:avLst/>
        </a:prstGeom>
        <a:noFill/>
        <a:ln w="9525">
          <a:noFill/>
          <a:miter lim="800000"/>
          <a:headEnd/>
          <a:tailEnd/>
        </a:ln>
      </xdr:spPr>
    </xdr:pic>
    <xdr:clientData/>
  </xdr:twoCellAnchor>
  <xdr:twoCellAnchor editAs="oneCell">
    <xdr:from>
      <xdr:col>3</xdr:col>
      <xdr:colOff>828675</xdr:colOff>
      <xdr:row>21</xdr:row>
      <xdr:rowOff>57150</xdr:rowOff>
    </xdr:from>
    <xdr:to>
      <xdr:col>5</xdr:col>
      <xdr:colOff>600075</xdr:colOff>
      <xdr:row>27</xdr:row>
      <xdr:rowOff>19050</xdr:rowOff>
    </xdr:to>
    <xdr:pic>
      <xdr:nvPicPr>
        <xdr:cNvPr id="64609" name="Picture 22">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67050" y="3838575"/>
          <a:ext cx="1285875" cy="933450"/>
        </a:xfrm>
        <a:prstGeom prst="rect">
          <a:avLst/>
        </a:prstGeom>
        <a:noFill/>
        <a:ln w="9525">
          <a:noFill/>
          <a:miter lim="800000"/>
          <a:headEnd/>
          <a:tailEnd/>
        </a:ln>
      </xdr:spPr>
    </xdr:pic>
    <xdr:clientData/>
  </xdr:twoCellAnchor>
  <xdr:twoCellAnchor>
    <xdr:from>
      <xdr:col>0</xdr:col>
      <xdr:colOff>28575</xdr:colOff>
      <xdr:row>10</xdr:row>
      <xdr:rowOff>0</xdr:rowOff>
    </xdr:from>
    <xdr:to>
      <xdr:col>3</xdr:col>
      <xdr:colOff>295275</xdr:colOff>
      <xdr:row>27</xdr:row>
      <xdr:rowOff>152400</xdr:rowOff>
    </xdr:to>
    <xdr:sp macro="" textlink="">
      <xdr:nvSpPr>
        <xdr:cNvPr id="64610" name="Rectangle 23"/>
        <xdr:cNvSpPr>
          <a:spLocks noChangeArrowheads="1"/>
        </xdr:cNvSpPr>
      </xdr:nvSpPr>
      <xdr:spPr bwMode="auto">
        <a:xfrm>
          <a:off x="28575" y="1781175"/>
          <a:ext cx="2505075" cy="3124200"/>
        </a:xfrm>
        <a:prstGeom prst="rect">
          <a:avLst/>
        </a:prstGeom>
        <a:noFill/>
        <a:ln w="19050">
          <a:solidFill>
            <a:srgbClr val="000000"/>
          </a:solidFill>
          <a:miter lim="800000"/>
          <a:headEnd/>
          <a:tailEnd/>
        </a:ln>
      </xdr:spPr>
    </xdr:sp>
    <xdr:clientData/>
  </xdr:twoCellAnchor>
  <xdr:twoCellAnchor editAs="oneCell">
    <xdr:from>
      <xdr:col>0</xdr:col>
      <xdr:colOff>304800</xdr:colOff>
      <xdr:row>14</xdr:row>
      <xdr:rowOff>180975</xdr:rowOff>
    </xdr:from>
    <xdr:to>
      <xdr:col>2</xdr:col>
      <xdr:colOff>476250</xdr:colOff>
      <xdr:row>27</xdr:row>
      <xdr:rowOff>133350</xdr:rowOff>
    </xdr:to>
    <xdr:pic>
      <xdr:nvPicPr>
        <xdr:cNvPr id="64611" name="Picture 24"/>
        <xdr:cNvPicPr>
          <a:picLocks noChangeAspect="1" noChangeArrowheads="1"/>
        </xdr:cNvPicPr>
      </xdr:nvPicPr>
      <xdr:blipFill>
        <a:blip xmlns:r="http://schemas.openxmlformats.org/officeDocument/2006/relationships" r:embed="rId7" cstate="print"/>
        <a:srcRect/>
        <a:stretch>
          <a:fillRect/>
        </a:stretch>
      </xdr:blipFill>
      <xdr:spPr bwMode="auto">
        <a:xfrm>
          <a:off x="304800" y="2714625"/>
          <a:ext cx="1762125" cy="2171700"/>
        </a:xfrm>
        <a:prstGeom prst="rect">
          <a:avLst/>
        </a:prstGeom>
        <a:noFill/>
        <a:ln w="9525">
          <a:noFill/>
          <a:miter lim="800000"/>
          <a:headEnd/>
          <a:tailEnd/>
        </a:ln>
      </xdr:spPr>
    </xdr:pic>
    <xdr:clientData/>
  </xdr:twoCellAnchor>
  <xdr:twoCellAnchor editAs="absolute">
    <xdr:from>
      <xdr:col>0</xdr:col>
      <xdr:colOff>57150</xdr:colOff>
      <xdr:row>0</xdr:row>
      <xdr:rowOff>57150</xdr:rowOff>
    </xdr:from>
    <xdr:to>
      <xdr:col>0</xdr:col>
      <xdr:colOff>952500</xdr:colOff>
      <xdr:row>1</xdr:row>
      <xdr:rowOff>123825</xdr:rowOff>
    </xdr:to>
    <xdr:pic>
      <xdr:nvPicPr>
        <xdr:cNvPr id="64612" name="Picture 30">
          <a:hlinkClick xmlns:r="http://schemas.openxmlformats.org/officeDocument/2006/relationships" r:id="rId8" tooltip="Return to Main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57150" y="57150"/>
          <a:ext cx="895350" cy="228600"/>
        </a:xfrm>
        <a:prstGeom prst="rect">
          <a:avLst/>
        </a:prstGeom>
        <a:noFill/>
        <a:ln w="9525">
          <a:noFill/>
          <a:miter lim="800000"/>
          <a:headEnd/>
          <a:tailEnd/>
        </a:ln>
      </xdr:spPr>
    </xdr:pic>
    <xdr:clientData fPrintsWithSheet="0"/>
  </xdr:twoCellAnchor>
  <xdr:twoCellAnchor editAs="absolute">
    <xdr:from>
      <xdr:col>0</xdr:col>
      <xdr:colOff>57150</xdr:colOff>
      <xdr:row>1</xdr:row>
      <xdr:rowOff>133350</xdr:rowOff>
    </xdr:from>
    <xdr:to>
      <xdr:col>0</xdr:col>
      <xdr:colOff>952500</xdr:colOff>
      <xdr:row>2</xdr:row>
      <xdr:rowOff>66675</xdr:rowOff>
    </xdr:to>
    <xdr:pic>
      <xdr:nvPicPr>
        <xdr:cNvPr id="64613" name="Picture 31">
          <a:hlinkClick xmlns:r="http://schemas.openxmlformats.org/officeDocument/2006/relationships" r:id="rId10" tooltip="Go To Master Index"/>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7150" y="295275"/>
          <a:ext cx="895350" cy="228600"/>
        </a:xfrm>
        <a:prstGeom prst="rect">
          <a:avLst/>
        </a:prstGeom>
        <a:noFill/>
        <a:ln w="9525">
          <a:noFill/>
          <a:miter lim="800000"/>
          <a:headEnd/>
          <a:tailEnd/>
        </a:ln>
      </xdr:spPr>
    </xdr:pic>
    <xdr:clientData fPrintsWithSheet="0"/>
  </xdr:twoCellAnchor>
  <xdr:twoCellAnchor editAs="absolute">
    <xdr:from>
      <xdr:col>0</xdr:col>
      <xdr:colOff>57150</xdr:colOff>
      <xdr:row>2</xdr:row>
      <xdr:rowOff>95250</xdr:rowOff>
    </xdr:from>
    <xdr:to>
      <xdr:col>0</xdr:col>
      <xdr:colOff>952500</xdr:colOff>
      <xdr:row>3</xdr:row>
      <xdr:rowOff>161925</xdr:rowOff>
    </xdr:to>
    <xdr:pic>
      <xdr:nvPicPr>
        <xdr:cNvPr id="64614" name="Picture 32">
          <a:hlinkClick xmlns:r="http://schemas.openxmlformats.org/officeDocument/2006/relationships" r:id="rId12" tooltip="Go To Weights Menu"/>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7150" y="552450"/>
          <a:ext cx="895350" cy="228600"/>
        </a:xfrm>
        <a:prstGeom prst="rect">
          <a:avLst/>
        </a:prstGeom>
        <a:noFill/>
        <a:ln w="9525">
          <a:noFill/>
          <a:miter lim="800000"/>
          <a:headEnd/>
          <a:tailEnd/>
        </a:ln>
      </xdr:spPr>
    </xdr:pic>
    <xdr:clientData fPrintsWithSheet="0"/>
  </xdr:twoCellAnchor>
  <xdr:twoCellAnchor editAs="absolute">
    <xdr:from>
      <xdr:col>0</xdr:col>
      <xdr:colOff>57150</xdr:colOff>
      <xdr:row>3</xdr:row>
      <xdr:rowOff>161925</xdr:rowOff>
    </xdr:from>
    <xdr:to>
      <xdr:col>0</xdr:col>
      <xdr:colOff>952500</xdr:colOff>
      <xdr:row>5</xdr:row>
      <xdr:rowOff>47625</xdr:rowOff>
    </xdr:to>
    <xdr:pic>
      <xdr:nvPicPr>
        <xdr:cNvPr id="64615" name="Picture 33">
          <a:hlinkClick xmlns:r="http://schemas.openxmlformats.org/officeDocument/2006/relationships" r:id="rId14" tooltip="Go To Tensions Menu"/>
        </xdr:cNvPr>
        <xdr:cNvPicPr>
          <a:picLocks noChangeAspect="1" noChangeArrowheads="1"/>
        </xdr:cNvPicPr>
      </xdr:nvPicPr>
      <xdr:blipFill>
        <a:blip xmlns:r="http://schemas.openxmlformats.org/officeDocument/2006/relationships" r:embed="rId15" cstate="print"/>
        <a:srcRect/>
        <a:stretch>
          <a:fillRect/>
        </a:stretch>
      </xdr:blipFill>
      <xdr:spPr bwMode="auto">
        <a:xfrm>
          <a:off x="57150" y="781050"/>
          <a:ext cx="895350" cy="228600"/>
        </a:xfrm>
        <a:prstGeom prst="rect">
          <a:avLst/>
        </a:prstGeom>
        <a:noFill/>
        <a:ln w="9525">
          <a:noFill/>
          <a:miter lim="800000"/>
          <a:headEnd/>
          <a:tailEnd/>
        </a:ln>
      </xdr:spPr>
    </xdr:pic>
    <xdr:clientData fPrintsWithSheet="0"/>
  </xdr:twoCellAnchor>
  <xdr:twoCellAnchor editAs="absolute">
    <xdr:from>
      <xdr:col>0</xdr:col>
      <xdr:colOff>57150</xdr:colOff>
      <xdr:row>5</xdr:row>
      <xdr:rowOff>47625</xdr:rowOff>
    </xdr:from>
    <xdr:to>
      <xdr:col>0</xdr:col>
      <xdr:colOff>952500</xdr:colOff>
      <xdr:row>6</xdr:row>
      <xdr:rowOff>114300</xdr:rowOff>
    </xdr:to>
    <xdr:pic>
      <xdr:nvPicPr>
        <xdr:cNvPr id="64616" name="Picture 34">
          <a:hlinkClick xmlns:r="http://schemas.openxmlformats.org/officeDocument/2006/relationships" r:id="rId16" tooltip="Go To Equipment Menu"/>
        </xdr:cNvPr>
        <xdr:cNvPicPr>
          <a:picLocks noChangeAspect="1" noChangeArrowheads="1"/>
        </xdr:cNvPicPr>
      </xdr:nvPicPr>
      <xdr:blipFill>
        <a:blip xmlns:r="http://schemas.openxmlformats.org/officeDocument/2006/relationships" r:embed="rId17" cstate="print"/>
        <a:srcRect/>
        <a:stretch>
          <a:fillRect/>
        </a:stretch>
      </xdr:blipFill>
      <xdr:spPr bwMode="auto">
        <a:xfrm>
          <a:off x="57150" y="1009650"/>
          <a:ext cx="895350" cy="228600"/>
        </a:xfrm>
        <a:prstGeom prst="rect">
          <a:avLst/>
        </a:prstGeom>
        <a:noFill/>
        <a:ln w="9525">
          <a:noFill/>
          <a:miter lim="800000"/>
          <a:headEnd/>
          <a:tailEnd/>
        </a:ln>
      </xdr:spPr>
    </xdr:pic>
    <xdr:clientData fPrintsWithSheet="0"/>
  </xdr:twoCellAnchor>
  <xdr:twoCellAnchor editAs="absolute">
    <xdr:from>
      <xdr:col>0</xdr:col>
      <xdr:colOff>104775</xdr:colOff>
      <xdr:row>6</xdr:row>
      <xdr:rowOff>142875</xdr:rowOff>
    </xdr:from>
    <xdr:to>
      <xdr:col>0</xdr:col>
      <xdr:colOff>333375</xdr:colOff>
      <xdr:row>8</xdr:row>
      <xdr:rowOff>47625</xdr:rowOff>
    </xdr:to>
    <xdr:pic>
      <xdr:nvPicPr>
        <xdr:cNvPr id="64617" name="Picture 35" descr="Code Information">
          <a:hlinkClick xmlns:r="http://schemas.openxmlformats.org/officeDocument/2006/relationships" r:id="rId18" tooltip="Code Information"/>
        </xdr:cNvPr>
        <xdr:cNvPicPr>
          <a:picLocks noChangeAspect="1" noChangeArrowheads="1"/>
        </xdr:cNvPicPr>
      </xdr:nvPicPr>
      <xdr:blipFill>
        <a:blip xmlns:r="http://schemas.openxmlformats.org/officeDocument/2006/relationships" r:embed="rId19" cstate="print"/>
        <a:srcRect/>
        <a:stretch>
          <a:fillRect/>
        </a:stretch>
      </xdr:blipFill>
      <xdr:spPr bwMode="auto">
        <a:xfrm>
          <a:off x="104775" y="1266825"/>
          <a:ext cx="228600" cy="228600"/>
        </a:xfrm>
        <a:prstGeom prst="rect">
          <a:avLst/>
        </a:prstGeom>
        <a:noFill/>
        <a:ln w="9525">
          <a:noFill/>
          <a:miter lim="800000"/>
          <a:headEnd/>
          <a:tailEnd/>
        </a:ln>
      </xdr:spPr>
    </xdr:pic>
    <xdr:clientData fPrintsWithSheet="0"/>
  </xdr:twoCellAnchor>
  <xdr:twoCellAnchor editAs="absolute">
    <xdr:from>
      <xdr:col>0</xdr:col>
      <xdr:colOff>361950</xdr:colOff>
      <xdr:row>6</xdr:row>
      <xdr:rowOff>142875</xdr:rowOff>
    </xdr:from>
    <xdr:to>
      <xdr:col>0</xdr:col>
      <xdr:colOff>590550</xdr:colOff>
      <xdr:row>8</xdr:row>
      <xdr:rowOff>47625</xdr:rowOff>
    </xdr:to>
    <xdr:pic>
      <xdr:nvPicPr>
        <xdr:cNvPr id="64618" name="Picture 36" descr="help">
          <a:hlinkClick xmlns:r="http://schemas.openxmlformats.org/officeDocument/2006/relationships" r:id="rId20" tooltip="Help"/>
        </xdr:cNvPr>
        <xdr:cNvPicPr>
          <a:picLocks noChangeAspect="1" noChangeArrowheads="1"/>
        </xdr:cNvPicPr>
      </xdr:nvPicPr>
      <xdr:blipFill>
        <a:blip xmlns:r="http://schemas.openxmlformats.org/officeDocument/2006/relationships" r:embed="rId21" cstate="print"/>
        <a:srcRect/>
        <a:stretch>
          <a:fillRect/>
        </a:stretch>
      </xdr:blipFill>
      <xdr:spPr bwMode="auto">
        <a:xfrm>
          <a:off x="361950" y="1266825"/>
          <a:ext cx="228600" cy="228600"/>
        </a:xfrm>
        <a:prstGeom prst="rect">
          <a:avLst/>
        </a:prstGeom>
        <a:noFill/>
        <a:ln w="9525">
          <a:noFill/>
          <a:miter lim="800000"/>
          <a:headEnd/>
          <a:tailEnd/>
        </a:ln>
      </xdr:spPr>
    </xdr:pic>
    <xdr:clientData fPrintsWithSheet="0"/>
  </xdr:twoCellAnchor>
  <xdr:twoCellAnchor editAs="absolute">
    <xdr:from>
      <xdr:col>0</xdr:col>
      <xdr:colOff>628650</xdr:colOff>
      <xdr:row>6</xdr:row>
      <xdr:rowOff>142875</xdr:rowOff>
    </xdr:from>
    <xdr:to>
      <xdr:col>0</xdr:col>
      <xdr:colOff>857250</xdr:colOff>
      <xdr:row>8</xdr:row>
      <xdr:rowOff>47625</xdr:rowOff>
    </xdr:to>
    <xdr:pic>
      <xdr:nvPicPr>
        <xdr:cNvPr id="64619" name="Picture 37" descr="star">
          <a:hlinkClick xmlns:r="http://schemas.openxmlformats.org/officeDocument/2006/relationships" r:id="rId22" tooltip="Conversions"/>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28650" y="1266825"/>
          <a:ext cx="228600" cy="228600"/>
        </a:xfrm>
        <a:prstGeom prst="rect">
          <a:avLst/>
        </a:prstGeom>
        <a:noFill/>
        <a:ln w="9525">
          <a:noFill/>
          <a:miter lim="800000"/>
          <a:headEnd/>
          <a:tailEnd/>
        </a:ln>
      </xdr:spPr>
    </xdr:pic>
    <xdr:clientData fPrintsWithSheet="0"/>
  </xdr:twoCellAnchor>
</xdr:wsDr>
</file>

<file path=xl/drawings/drawing3.xml><?xml version="1.0" encoding="utf-8"?>
<xdr:wsDr xmlns:xdr="http://schemas.openxmlformats.org/drawingml/2006/spreadsheetDrawing" xmlns:a="http://schemas.openxmlformats.org/drawingml/2006/main">
  <xdr:twoCellAnchor editAs="absolute">
    <xdr:from>
      <xdr:col>0</xdr:col>
      <xdr:colOff>38100</xdr:colOff>
      <xdr:row>0</xdr:row>
      <xdr:rowOff>57150</xdr:rowOff>
    </xdr:from>
    <xdr:to>
      <xdr:col>1</xdr:col>
      <xdr:colOff>0</xdr:colOff>
      <xdr:row>1</xdr:row>
      <xdr:rowOff>123825</xdr:rowOff>
    </xdr:to>
    <xdr:pic>
      <xdr:nvPicPr>
        <xdr:cNvPr id="73773" name="Picture 9">
          <a:hlinkClick xmlns:r="http://schemas.openxmlformats.org/officeDocument/2006/relationships" r:id="rId1" tooltip="Return to Main Menu"/>
        </xdr:cNvPr>
        <xdr:cNvPicPr>
          <a:picLocks noChangeAspect="1" noChangeArrowheads="1"/>
        </xdr:cNvPicPr>
      </xdr:nvPicPr>
      <xdr:blipFill>
        <a:blip xmlns:r="http://schemas.openxmlformats.org/officeDocument/2006/relationships" r:embed="rId2" cstate="print"/>
        <a:srcRect/>
        <a:stretch>
          <a:fillRect/>
        </a:stretch>
      </xdr:blipFill>
      <xdr:spPr bwMode="auto">
        <a:xfrm>
          <a:off x="38100" y="57150"/>
          <a:ext cx="895350" cy="228600"/>
        </a:xfrm>
        <a:prstGeom prst="rect">
          <a:avLst/>
        </a:prstGeom>
        <a:noFill/>
        <a:ln w="9525">
          <a:noFill/>
          <a:miter lim="800000"/>
          <a:headEnd/>
          <a:tailEnd/>
        </a:ln>
      </xdr:spPr>
    </xdr:pic>
    <xdr:clientData fPrintsWithSheet="0"/>
  </xdr:twoCellAnchor>
  <xdr:twoCellAnchor editAs="absolute">
    <xdr:from>
      <xdr:col>0</xdr:col>
      <xdr:colOff>38100</xdr:colOff>
      <xdr:row>1</xdr:row>
      <xdr:rowOff>133350</xdr:rowOff>
    </xdr:from>
    <xdr:to>
      <xdr:col>1</xdr:col>
      <xdr:colOff>0</xdr:colOff>
      <xdr:row>2</xdr:row>
      <xdr:rowOff>133350</xdr:rowOff>
    </xdr:to>
    <xdr:pic>
      <xdr:nvPicPr>
        <xdr:cNvPr id="73774" name="Picture 10">
          <a:hlinkClick xmlns:r="http://schemas.openxmlformats.org/officeDocument/2006/relationships" r:id="rId3" tooltip="Go To Master Index"/>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100" y="295275"/>
          <a:ext cx="895350" cy="228600"/>
        </a:xfrm>
        <a:prstGeom prst="rect">
          <a:avLst/>
        </a:prstGeom>
        <a:noFill/>
        <a:ln w="9525">
          <a:noFill/>
          <a:miter lim="800000"/>
          <a:headEnd/>
          <a:tailEnd/>
        </a:ln>
      </xdr:spPr>
    </xdr:pic>
    <xdr:clientData fPrintsWithSheet="0"/>
  </xdr:twoCellAnchor>
  <xdr:twoCellAnchor editAs="absolute">
    <xdr:from>
      <xdr:col>0</xdr:col>
      <xdr:colOff>38100</xdr:colOff>
      <xdr:row>3</xdr:row>
      <xdr:rowOff>0</xdr:rowOff>
    </xdr:from>
    <xdr:to>
      <xdr:col>1</xdr:col>
      <xdr:colOff>0</xdr:colOff>
      <xdr:row>4</xdr:row>
      <xdr:rowOff>66675</xdr:rowOff>
    </xdr:to>
    <xdr:pic>
      <xdr:nvPicPr>
        <xdr:cNvPr id="73775" name="Picture 11">
          <a:hlinkClick xmlns:r="http://schemas.openxmlformats.org/officeDocument/2006/relationships" r:id="rId5" tooltip="Go To Weights Menu"/>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 y="552450"/>
          <a:ext cx="895350" cy="228600"/>
        </a:xfrm>
        <a:prstGeom prst="rect">
          <a:avLst/>
        </a:prstGeom>
        <a:noFill/>
        <a:ln w="9525">
          <a:noFill/>
          <a:miter lim="800000"/>
          <a:headEnd/>
          <a:tailEnd/>
        </a:ln>
      </xdr:spPr>
    </xdr:pic>
    <xdr:clientData fPrintsWithSheet="0"/>
  </xdr:twoCellAnchor>
  <xdr:twoCellAnchor editAs="absolute">
    <xdr:from>
      <xdr:col>0</xdr:col>
      <xdr:colOff>38100</xdr:colOff>
      <xdr:row>4</xdr:row>
      <xdr:rowOff>66675</xdr:rowOff>
    </xdr:from>
    <xdr:to>
      <xdr:col>1</xdr:col>
      <xdr:colOff>0</xdr:colOff>
      <xdr:row>5</xdr:row>
      <xdr:rowOff>95250</xdr:rowOff>
    </xdr:to>
    <xdr:pic>
      <xdr:nvPicPr>
        <xdr:cNvPr id="73776" name="Picture 12">
          <a:hlinkClick xmlns:r="http://schemas.openxmlformats.org/officeDocument/2006/relationships" r:id="rId7" tooltip="Go To Tensions Menu"/>
        </xdr:cNvPr>
        <xdr:cNvPicPr>
          <a:picLocks noChangeAspect="1" noChangeArrowheads="1"/>
        </xdr:cNvPicPr>
      </xdr:nvPicPr>
      <xdr:blipFill>
        <a:blip xmlns:r="http://schemas.openxmlformats.org/officeDocument/2006/relationships" r:embed="rId8" cstate="print"/>
        <a:srcRect/>
        <a:stretch>
          <a:fillRect/>
        </a:stretch>
      </xdr:blipFill>
      <xdr:spPr bwMode="auto">
        <a:xfrm>
          <a:off x="38100" y="781050"/>
          <a:ext cx="895350" cy="228600"/>
        </a:xfrm>
        <a:prstGeom prst="rect">
          <a:avLst/>
        </a:prstGeom>
        <a:noFill/>
        <a:ln w="9525">
          <a:noFill/>
          <a:miter lim="800000"/>
          <a:headEnd/>
          <a:tailEnd/>
        </a:ln>
      </xdr:spPr>
    </xdr:pic>
    <xdr:clientData fPrintsWithSheet="0"/>
  </xdr:twoCellAnchor>
  <xdr:twoCellAnchor editAs="absolute">
    <xdr:from>
      <xdr:col>0</xdr:col>
      <xdr:colOff>38100</xdr:colOff>
      <xdr:row>5</xdr:row>
      <xdr:rowOff>95250</xdr:rowOff>
    </xdr:from>
    <xdr:to>
      <xdr:col>1</xdr:col>
      <xdr:colOff>0</xdr:colOff>
      <xdr:row>7</xdr:row>
      <xdr:rowOff>0</xdr:rowOff>
    </xdr:to>
    <xdr:pic>
      <xdr:nvPicPr>
        <xdr:cNvPr id="73777" name="Picture 13">
          <a:hlinkClick xmlns:r="http://schemas.openxmlformats.org/officeDocument/2006/relationships" r:id="rId9" tooltip="Go To Equipment Menu"/>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8100" y="1009650"/>
          <a:ext cx="895350" cy="228600"/>
        </a:xfrm>
        <a:prstGeom prst="rect">
          <a:avLst/>
        </a:prstGeom>
        <a:noFill/>
        <a:ln w="9525">
          <a:noFill/>
          <a:miter lim="800000"/>
          <a:headEnd/>
          <a:tailEnd/>
        </a:ln>
      </xdr:spPr>
    </xdr:pic>
    <xdr:clientData fPrintsWithSheet="0"/>
  </xdr:twoCellAnchor>
  <xdr:twoCellAnchor editAs="oneCell">
    <xdr:from>
      <xdr:col>0</xdr:col>
      <xdr:colOff>342900</xdr:colOff>
      <xdr:row>7</xdr:row>
      <xdr:rowOff>57150</xdr:rowOff>
    </xdr:from>
    <xdr:to>
      <xdr:col>0</xdr:col>
      <xdr:colOff>571500</xdr:colOff>
      <xdr:row>8</xdr:row>
      <xdr:rowOff>123825</xdr:rowOff>
    </xdr:to>
    <xdr:pic>
      <xdr:nvPicPr>
        <xdr:cNvPr id="73778" name="Picture 15" descr="help">
          <a:hlinkClick xmlns:r="http://schemas.openxmlformats.org/officeDocument/2006/relationships" r:id="rId11" tooltip="Help"/>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42900" y="1295400"/>
          <a:ext cx="228600" cy="228600"/>
        </a:xfrm>
        <a:prstGeom prst="rect">
          <a:avLst/>
        </a:prstGeom>
        <a:noFill/>
        <a:ln w="9525">
          <a:noFill/>
          <a:miter lim="800000"/>
          <a:headEnd/>
          <a:tailEnd/>
        </a:ln>
      </xdr:spPr>
    </xdr:pic>
    <xdr:clientData/>
  </xdr:twoCellAnchor>
  <xdr:twoCellAnchor editAs="oneCell">
    <xdr:from>
      <xdr:col>0</xdr:col>
      <xdr:colOff>609600</xdr:colOff>
      <xdr:row>7</xdr:row>
      <xdr:rowOff>57150</xdr:rowOff>
    </xdr:from>
    <xdr:to>
      <xdr:col>0</xdr:col>
      <xdr:colOff>838200</xdr:colOff>
      <xdr:row>8</xdr:row>
      <xdr:rowOff>123825</xdr:rowOff>
    </xdr:to>
    <xdr:pic>
      <xdr:nvPicPr>
        <xdr:cNvPr id="73779" name="Picture 16" descr="star">
          <a:hlinkClick xmlns:r="http://schemas.openxmlformats.org/officeDocument/2006/relationships" r:id="rId13" tooltip="Conversions"/>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09600" y="1295400"/>
          <a:ext cx="228600" cy="22860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4</xdr:col>
      <xdr:colOff>19050</xdr:colOff>
      <xdr:row>1</xdr:row>
      <xdr:rowOff>28575</xdr:rowOff>
    </xdr:from>
    <xdr:to>
      <xdr:col>6</xdr:col>
      <xdr:colOff>219075</xdr:colOff>
      <xdr:row>4</xdr:row>
      <xdr:rowOff>28575</xdr:rowOff>
    </xdr:to>
    <xdr:sp macro="" textlink="">
      <xdr:nvSpPr>
        <xdr:cNvPr id="25678" name="Rectangle 2"/>
        <xdr:cNvSpPr>
          <a:spLocks noChangeArrowheads="1"/>
        </xdr:cNvSpPr>
      </xdr:nvSpPr>
      <xdr:spPr bwMode="auto">
        <a:xfrm>
          <a:off x="3667125" y="228600"/>
          <a:ext cx="1419225" cy="590550"/>
        </a:xfrm>
        <a:prstGeom prst="rect">
          <a:avLst/>
        </a:prstGeom>
        <a:solidFill>
          <a:srgbClr val="FFFFFF"/>
        </a:solidFill>
        <a:ln w="9525">
          <a:noFill/>
          <a:miter lim="800000"/>
          <a:headEnd/>
          <a:tailEnd/>
        </a:ln>
      </xdr:spPr>
    </xdr:sp>
    <xdr:clientData/>
  </xdr:twoCellAnchor>
  <xdr:twoCellAnchor editAs="oneCell">
    <xdr:from>
      <xdr:col>0</xdr:col>
      <xdr:colOff>628650</xdr:colOff>
      <xdr:row>8</xdr:row>
      <xdr:rowOff>180975</xdr:rowOff>
    </xdr:from>
    <xdr:to>
      <xdr:col>1</xdr:col>
      <xdr:colOff>114300</xdr:colOff>
      <xdr:row>13</xdr:row>
      <xdr:rowOff>0</xdr:rowOff>
    </xdr:to>
    <xdr:pic>
      <xdr:nvPicPr>
        <xdr:cNvPr id="25679" name="Picture 7" descr="1888724080"/>
        <xdr:cNvPicPr>
          <a:picLocks noChangeAspect="1" noChangeArrowheads="1"/>
        </xdr:cNvPicPr>
      </xdr:nvPicPr>
      <xdr:blipFill>
        <a:blip xmlns:r="http://schemas.openxmlformats.org/officeDocument/2006/relationships" r:embed="rId1" cstate="print"/>
        <a:srcRect/>
        <a:stretch>
          <a:fillRect/>
        </a:stretch>
      </xdr:blipFill>
      <xdr:spPr bwMode="auto">
        <a:xfrm>
          <a:off x="628650" y="1628775"/>
          <a:ext cx="419100" cy="733425"/>
        </a:xfrm>
        <a:prstGeom prst="rect">
          <a:avLst/>
        </a:prstGeom>
        <a:noFill/>
        <a:ln w="9525">
          <a:noFill/>
          <a:miter lim="800000"/>
          <a:headEnd/>
          <a:tailEnd/>
        </a:ln>
      </xdr:spPr>
    </xdr:pic>
    <xdr:clientData/>
  </xdr:twoCellAnchor>
  <xdr:twoCellAnchor editAs="oneCell">
    <xdr:from>
      <xdr:col>4</xdr:col>
      <xdr:colOff>266700</xdr:colOff>
      <xdr:row>0</xdr:row>
      <xdr:rowOff>76200</xdr:rowOff>
    </xdr:from>
    <xdr:to>
      <xdr:col>8</xdr:col>
      <xdr:colOff>304800</xdr:colOff>
      <xdr:row>11</xdr:row>
      <xdr:rowOff>133350</xdr:rowOff>
    </xdr:to>
    <xdr:pic>
      <xdr:nvPicPr>
        <xdr:cNvPr id="25680"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3914775" y="76200"/>
          <a:ext cx="2476500" cy="2095500"/>
        </a:xfrm>
        <a:prstGeom prst="rect">
          <a:avLst/>
        </a:prstGeom>
        <a:noFill/>
        <a:ln w="9525">
          <a:noFill/>
          <a:miter lim="800000"/>
          <a:headEnd/>
          <a:tailEnd/>
        </a:ln>
      </xdr:spPr>
    </xdr:pic>
    <xdr:clientData/>
  </xdr:twoCellAnchor>
  <xdr:twoCellAnchor editAs="oneCell">
    <xdr:from>
      <xdr:col>4</xdr:col>
      <xdr:colOff>390525</xdr:colOff>
      <xdr:row>16</xdr:row>
      <xdr:rowOff>38100</xdr:rowOff>
    </xdr:from>
    <xdr:to>
      <xdr:col>8</xdr:col>
      <xdr:colOff>333375</xdr:colOff>
      <xdr:row>28</xdr:row>
      <xdr:rowOff>19050</xdr:rowOff>
    </xdr:to>
    <xdr:pic>
      <xdr:nvPicPr>
        <xdr:cNvPr id="25681" name="Picture 9"/>
        <xdr:cNvPicPr>
          <a:picLocks noChangeAspect="1" noChangeArrowheads="1"/>
        </xdr:cNvPicPr>
      </xdr:nvPicPr>
      <xdr:blipFill>
        <a:blip xmlns:r="http://schemas.openxmlformats.org/officeDocument/2006/relationships" r:embed="rId3" cstate="print"/>
        <a:srcRect/>
        <a:stretch>
          <a:fillRect/>
        </a:stretch>
      </xdr:blipFill>
      <xdr:spPr bwMode="auto">
        <a:xfrm>
          <a:off x="4038600" y="2847975"/>
          <a:ext cx="2381250" cy="2085975"/>
        </a:xfrm>
        <a:prstGeom prst="rect">
          <a:avLst/>
        </a:prstGeom>
        <a:noFill/>
        <a:ln w="9525">
          <a:noFill/>
          <a:miter lim="800000"/>
          <a:headEnd/>
          <a:tailEnd/>
        </a:ln>
      </xdr:spPr>
    </xdr:pic>
    <xdr:clientData/>
  </xdr:twoCellAnchor>
  <xdr:twoCellAnchor editAs="absolute">
    <xdr:from>
      <xdr:col>0</xdr:col>
      <xdr:colOff>47625</xdr:colOff>
      <xdr:row>0</xdr:row>
      <xdr:rowOff>57150</xdr:rowOff>
    </xdr:from>
    <xdr:to>
      <xdr:col>1</xdr:col>
      <xdr:colOff>9525</xdr:colOff>
      <xdr:row>1</xdr:row>
      <xdr:rowOff>85725</xdr:rowOff>
    </xdr:to>
    <xdr:pic>
      <xdr:nvPicPr>
        <xdr:cNvPr id="25682" name="Picture 17">
          <a:hlinkClick xmlns:r="http://schemas.openxmlformats.org/officeDocument/2006/relationships" r:id="rId4" tooltip="Return to Main Menu"/>
        </xdr:cNvPr>
        <xdr:cNvPicPr>
          <a:picLocks noChangeAspect="1" noChangeArrowheads="1"/>
        </xdr:cNvPicPr>
      </xdr:nvPicPr>
      <xdr:blipFill>
        <a:blip xmlns:r="http://schemas.openxmlformats.org/officeDocument/2006/relationships" r:embed="rId5" cstate="print"/>
        <a:srcRect/>
        <a:stretch>
          <a:fillRect/>
        </a:stretch>
      </xdr:blipFill>
      <xdr:spPr bwMode="auto">
        <a:xfrm>
          <a:off x="47625" y="57150"/>
          <a:ext cx="895350" cy="228600"/>
        </a:xfrm>
        <a:prstGeom prst="rect">
          <a:avLst/>
        </a:prstGeom>
        <a:noFill/>
        <a:ln w="9525">
          <a:noFill/>
          <a:miter lim="800000"/>
          <a:headEnd/>
          <a:tailEnd/>
        </a:ln>
      </xdr:spPr>
    </xdr:pic>
    <xdr:clientData fPrintsWithSheet="0"/>
  </xdr:twoCellAnchor>
  <xdr:twoCellAnchor editAs="absolute">
    <xdr:from>
      <xdr:col>0</xdr:col>
      <xdr:colOff>47625</xdr:colOff>
      <xdr:row>1</xdr:row>
      <xdr:rowOff>95250</xdr:rowOff>
    </xdr:from>
    <xdr:to>
      <xdr:col>1</xdr:col>
      <xdr:colOff>9525</xdr:colOff>
      <xdr:row>2</xdr:row>
      <xdr:rowOff>152400</xdr:rowOff>
    </xdr:to>
    <xdr:pic>
      <xdr:nvPicPr>
        <xdr:cNvPr id="25683" name="Picture 18">
          <a:hlinkClick xmlns:r="http://schemas.openxmlformats.org/officeDocument/2006/relationships" r:id="rId6" tooltip="Go To Master Index"/>
        </xdr:cNvPr>
        <xdr:cNvPicPr>
          <a:picLocks noChangeAspect="1" noChangeArrowheads="1"/>
        </xdr:cNvPicPr>
      </xdr:nvPicPr>
      <xdr:blipFill>
        <a:blip xmlns:r="http://schemas.openxmlformats.org/officeDocument/2006/relationships" r:embed="rId7" cstate="print"/>
        <a:srcRect/>
        <a:stretch>
          <a:fillRect/>
        </a:stretch>
      </xdr:blipFill>
      <xdr:spPr bwMode="auto">
        <a:xfrm>
          <a:off x="47625" y="29527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2</xdr:row>
      <xdr:rowOff>180975</xdr:rowOff>
    </xdr:from>
    <xdr:to>
      <xdr:col>1</xdr:col>
      <xdr:colOff>9525</xdr:colOff>
      <xdr:row>3</xdr:row>
      <xdr:rowOff>200025</xdr:rowOff>
    </xdr:to>
    <xdr:pic>
      <xdr:nvPicPr>
        <xdr:cNvPr id="25684" name="Picture 19">
          <a:hlinkClick xmlns:r="http://schemas.openxmlformats.org/officeDocument/2006/relationships" r:id="rId8" tooltip="Go To Weight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552450"/>
          <a:ext cx="895350" cy="228600"/>
        </a:xfrm>
        <a:prstGeom prst="rect">
          <a:avLst/>
        </a:prstGeom>
        <a:noFill/>
        <a:ln w="9525">
          <a:noFill/>
          <a:miter lim="800000"/>
          <a:headEnd/>
          <a:tailEnd/>
        </a:ln>
      </xdr:spPr>
    </xdr:pic>
    <xdr:clientData fPrintsWithSheet="0"/>
  </xdr:twoCellAnchor>
  <xdr:twoCellAnchor editAs="absolute">
    <xdr:from>
      <xdr:col>0</xdr:col>
      <xdr:colOff>47625</xdr:colOff>
      <xdr:row>3</xdr:row>
      <xdr:rowOff>200025</xdr:rowOff>
    </xdr:from>
    <xdr:to>
      <xdr:col>1</xdr:col>
      <xdr:colOff>9525</xdr:colOff>
      <xdr:row>5</xdr:row>
      <xdr:rowOff>57150</xdr:rowOff>
    </xdr:to>
    <xdr:pic>
      <xdr:nvPicPr>
        <xdr:cNvPr id="25685" name="Picture 20">
          <a:hlinkClick xmlns:r="http://schemas.openxmlformats.org/officeDocument/2006/relationships" r:id="rId10" tooltip="Go To Tensions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47625" y="781050"/>
          <a:ext cx="895350" cy="228600"/>
        </a:xfrm>
        <a:prstGeom prst="rect">
          <a:avLst/>
        </a:prstGeom>
        <a:noFill/>
        <a:ln w="9525">
          <a:noFill/>
          <a:miter lim="800000"/>
          <a:headEnd/>
          <a:tailEnd/>
        </a:ln>
      </xdr:spPr>
    </xdr:pic>
    <xdr:clientData fPrintsWithSheet="0"/>
  </xdr:twoCellAnchor>
  <xdr:twoCellAnchor editAs="absolute">
    <xdr:from>
      <xdr:col>0</xdr:col>
      <xdr:colOff>47625</xdr:colOff>
      <xdr:row>5</xdr:row>
      <xdr:rowOff>57150</xdr:rowOff>
    </xdr:from>
    <xdr:to>
      <xdr:col>1</xdr:col>
      <xdr:colOff>9525</xdr:colOff>
      <xdr:row>6</xdr:row>
      <xdr:rowOff>123825</xdr:rowOff>
    </xdr:to>
    <xdr:pic>
      <xdr:nvPicPr>
        <xdr:cNvPr id="25686" name="Picture 21">
          <a:hlinkClick xmlns:r="http://schemas.openxmlformats.org/officeDocument/2006/relationships" r:id="rId12" tooltip="Go To Equipment Menu"/>
        </xdr:cNvPr>
        <xdr:cNvPicPr>
          <a:picLocks noChangeAspect="1" noChangeArrowheads="1"/>
        </xdr:cNvPicPr>
      </xdr:nvPicPr>
      <xdr:blipFill>
        <a:blip xmlns:r="http://schemas.openxmlformats.org/officeDocument/2006/relationships" r:embed="rId13" cstate="print"/>
        <a:srcRect/>
        <a:stretch>
          <a:fillRect/>
        </a:stretch>
      </xdr:blipFill>
      <xdr:spPr bwMode="auto">
        <a:xfrm>
          <a:off x="47625" y="1009650"/>
          <a:ext cx="895350" cy="228600"/>
        </a:xfrm>
        <a:prstGeom prst="rect">
          <a:avLst/>
        </a:prstGeom>
        <a:noFill/>
        <a:ln w="9525">
          <a:noFill/>
          <a:miter lim="800000"/>
          <a:headEnd/>
          <a:tailEnd/>
        </a:ln>
      </xdr:spPr>
    </xdr:pic>
    <xdr:clientData fPrintsWithSheet="0"/>
  </xdr:twoCellAnchor>
  <xdr:twoCellAnchor editAs="absolute">
    <xdr:from>
      <xdr:col>0</xdr:col>
      <xdr:colOff>95250</xdr:colOff>
      <xdr:row>6</xdr:row>
      <xdr:rowOff>152400</xdr:rowOff>
    </xdr:from>
    <xdr:to>
      <xdr:col>0</xdr:col>
      <xdr:colOff>323850</xdr:colOff>
      <xdr:row>8</xdr:row>
      <xdr:rowOff>47625</xdr:rowOff>
    </xdr:to>
    <xdr:pic>
      <xdr:nvPicPr>
        <xdr:cNvPr id="25687" name="Picture 22" descr="Code Information">
          <a:hlinkClick xmlns:r="http://schemas.openxmlformats.org/officeDocument/2006/relationships" r:id="rId14" tooltip="Code Information"/>
        </xdr:cNvPr>
        <xdr:cNvPicPr>
          <a:picLocks noChangeAspect="1" noChangeArrowheads="1"/>
        </xdr:cNvPicPr>
      </xdr:nvPicPr>
      <xdr:blipFill>
        <a:blip xmlns:r="http://schemas.openxmlformats.org/officeDocument/2006/relationships" r:embed="rId15" cstate="print"/>
        <a:srcRect/>
        <a:stretch>
          <a:fillRect/>
        </a:stretch>
      </xdr:blipFill>
      <xdr:spPr bwMode="auto">
        <a:xfrm>
          <a:off x="95250" y="1266825"/>
          <a:ext cx="228600" cy="228600"/>
        </a:xfrm>
        <a:prstGeom prst="rect">
          <a:avLst/>
        </a:prstGeom>
        <a:noFill/>
        <a:ln w="9525">
          <a:noFill/>
          <a:miter lim="800000"/>
          <a:headEnd/>
          <a:tailEnd/>
        </a:ln>
      </xdr:spPr>
    </xdr:pic>
    <xdr:clientData fPrintsWithSheet="0"/>
  </xdr:twoCellAnchor>
  <xdr:twoCellAnchor editAs="absolute">
    <xdr:from>
      <xdr:col>0</xdr:col>
      <xdr:colOff>352425</xdr:colOff>
      <xdr:row>6</xdr:row>
      <xdr:rowOff>152400</xdr:rowOff>
    </xdr:from>
    <xdr:to>
      <xdr:col>0</xdr:col>
      <xdr:colOff>581025</xdr:colOff>
      <xdr:row>8</xdr:row>
      <xdr:rowOff>47625</xdr:rowOff>
    </xdr:to>
    <xdr:pic>
      <xdr:nvPicPr>
        <xdr:cNvPr id="25688" name="Picture 23" descr="help">
          <a:hlinkClick xmlns:r="http://schemas.openxmlformats.org/officeDocument/2006/relationships" r:id="rId16" tooltip="Help"/>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52425" y="1266825"/>
          <a:ext cx="228600" cy="228600"/>
        </a:xfrm>
        <a:prstGeom prst="rect">
          <a:avLst/>
        </a:prstGeom>
        <a:noFill/>
        <a:ln w="9525">
          <a:noFill/>
          <a:miter lim="800000"/>
          <a:headEnd/>
          <a:tailEnd/>
        </a:ln>
      </xdr:spPr>
    </xdr:pic>
    <xdr:clientData fPrintsWithSheet="0"/>
  </xdr:twoCellAnchor>
  <xdr:twoCellAnchor editAs="absolute">
    <xdr:from>
      <xdr:col>0</xdr:col>
      <xdr:colOff>619125</xdr:colOff>
      <xdr:row>6</xdr:row>
      <xdr:rowOff>152400</xdr:rowOff>
    </xdr:from>
    <xdr:to>
      <xdr:col>0</xdr:col>
      <xdr:colOff>847725</xdr:colOff>
      <xdr:row>8</xdr:row>
      <xdr:rowOff>47625</xdr:rowOff>
    </xdr:to>
    <xdr:pic>
      <xdr:nvPicPr>
        <xdr:cNvPr id="25689" name="Picture 24" descr="star">
          <a:hlinkClick xmlns:r="http://schemas.openxmlformats.org/officeDocument/2006/relationships" r:id="rId18" tooltip="Conversions"/>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19125" y="1266825"/>
          <a:ext cx="228600" cy="228600"/>
        </a:xfrm>
        <a:prstGeom prst="rect">
          <a:avLst/>
        </a:prstGeom>
        <a:noFill/>
        <a:ln w="9525">
          <a:noFill/>
          <a:miter lim="800000"/>
          <a:headEnd/>
          <a:tailEnd/>
        </a:ln>
      </xdr:spPr>
    </xdr:pic>
    <xdr:clientData fPrintsWithSheet="0"/>
  </xdr:twoCellAnchor>
  <xdr:twoCellAnchor editAs="oneCell">
    <xdr:from>
      <xdr:col>0</xdr:col>
      <xdr:colOff>152400</xdr:colOff>
      <xdr:row>30</xdr:row>
      <xdr:rowOff>85725</xdr:rowOff>
    </xdr:from>
    <xdr:to>
      <xdr:col>10</xdr:col>
      <xdr:colOff>0</xdr:colOff>
      <xdr:row>33</xdr:row>
      <xdr:rowOff>66675</xdr:rowOff>
    </xdr:to>
    <xdr:sp macro="" textlink="">
      <xdr:nvSpPr>
        <xdr:cNvPr id="25625" name="Text 4"/>
        <xdr:cNvSpPr>
          <a:spLocks noChangeArrowheads="1"/>
        </xdr:cNvSpPr>
      </xdr:nvSpPr>
      <xdr:spPr bwMode="auto">
        <a:xfrm>
          <a:off x="152400" y="5248275"/>
          <a:ext cx="7153275" cy="4667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en-GB" sz="1000" b="1" i="0" u="none" strike="noStrike" baseline="0">
              <a:solidFill>
                <a:srgbClr val="FF0000"/>
              </a:solidFill>
              <a:latin typeface="Arial"/>
              <a:cs typeface="Arial"/>
            </a:rPr>
            <a:t>All calculations must be verified by a qualified person, final approval and decision for use of any rigging is the responsibility of the qualified person.</a:t>
          </a:r>
        </a:p>
      </xdr:txBody>
    </xdr:sp>
    <xdr:clientData/>
  </xdr:twoCellAnchor>
  <mc:AlternateContent xmlns:mc="http://schemas.openxmlformats.org/markup-compatibility/2006">
    <mc:Choice xmlns:a14="http://schemas.microsoft.com/office/drawing/2010/main" Requires="a14">
      <xdr:twoCellAnchor editAs="oneCell">
        <xdr:from>
          <xdr:col>3</xdr:col>
          <xdr:colOff>76200</xdr:colOff>
          <xdr:row>18</xdr:row>
          <xdr:rowOff>9525</xdr:rowOff>
        </xdr:from>
        <xdr:to>
          <xdr:col>4</xdr:col>
          <xdr:colOff>57150</xdr:colOff>
          <xdr:row>19</xdr:row>
          <xdr:rowOff>9525</xdr:rowOff>
        </xdr:to>
        <xdr:sp macro="" textlink="">
          <xdr:nvSpPr>
            <xdr:cNvPr id="25606" name="Drop Down 6" hidden="1">
              <a:extLst>
                <a:ext uri="{63B3BB69-23CF-44E3-9099-C40C66FF867C}">
                  <a14:compatExt spid="_x0000_s25606"/>
                </a:ext>
              </a:extLst>
            </xdr:cNvPr>
            <xdr:cNvSpPr/>
          </xdr:nvSpPr>
          <xdr:spPr>
            <a:xfrm>
              <a:off x="0" y="0"/>
              <a:ext cx="0" cy="0"/>
            </a:xfrm>
            <a:prstGeom prst="rect">
              <a:avLst/>
            </a:prstGeom>
          </xdr:spPr>
        </xdr:sp>
        <xdr:clientData fLocksWithSheet="0"/>
      </xdr:twoCellAnchor>
    </mc:Choice>
    <mc:Fallback/>
  </mc:AlternateContent>
</xdr:wsDr>
</file>

<file path=xl/drawings/drawing31.xml><?xml version="1.0" encoding="utf-8"?>
<xdr:wsDr xmlns:xdr="http://schemas.openxmlformats.org/drawingml/2006/spreadsheetDrawing" xmlns:a="http://schemas.openxmlformats.org/drawingml/2006/main">
  <xdr:twoCellAnchor editAs="absolute">
    <xdr:from>
      <xdr:col>1</xdr:col>
      <xdr:colOff>57150</xdr:colOff>
      <xdr:row>0</xdr:row>
      <xdr:rowOff>38100</xdr:rowOff>
    </xdr:from>
    <xdr:to>
      <xdr:col>2</xdr:col>
      <xdr:colOff>1228725</xdr:colOff>
      <xdr:row>2</xdr:row>
      <xdr:rowOff>228600</xdr:rowOff>
    </xdr:to>
    <xdr:grpSp>
      <xdr:nvGrpSpPr>
        <xdr:cNvPr id="42123" name="Group 33"/>
        <xdr:cNvGrpSpPr>
          <a:grpSpLocks/>
        </xdr:cNvGrpSpPr>
      </xdr:nvGrpSpPr>
      <xdr:grpSpPr bwMode="auto">
        <a:xfrm>
          <a:off x="1028700" y="38100"/>
          <a:ext cx="1419225" cy="581025"/>
          <a:chOff x="414" y="114"/>
          <a:chExt cx="149" cy="64"/>
        </a:xfrm>
      </xdr:grpSpPr>
      <xdr:sp macro="" textlink="">
        <xdr:nvSpPr>
          <xdr:cNvPr id="42135" name="Rectangle 23"/>
          <xdr:cNvSpPr>
            <a:spLocks noChangeArrowheads="1"/>
          </xdr:cNvSpPr>
        </xdr:nvSpPr>
        <xdr:spPr bwMode="auto">
          <a:xfrm>
            <a:off x="414" y="114"/>
            <a:ext cx="149" cy="64"/>
          </a:xfrm>
          <a:prstGeom prst="rect">
            <a:avLst/>
          </a:prstGeom>
          <a:solidFill>
            <a:srgbClr val="FFFF00"/>
          </a:solidFill>
          <a:ln w="9525">
            <a:solidFill>
              <a:srgbClr val="000000"/>
            </a:solidFill>
            <a:miter lim="800000"/>
            <a:headEnd/>
            <a:tailEnd/>
          </a:ln>
        </xdr:spPr>
      </xdr:sp>
    </xdr:grpSp>
    <xdr:clientData fPrintsWithSheet="0"/>
  </xdr:twoCellAnchor>
  <xdr:twoCellAnchor editAs="absolute">
    <xdr:from>
      <xdr:col>0</xdr:col>
      <xdr:colOff>142875</xdr:colOff>
      <xdr:row>22</xdr:row>
      <xdr:rowOff>19050</xdr:rowOff>
    </xdr:from>
    <xdr:to>
      <xdr:col>7</xdr:col>
      <xdr:colOff>180975</xdr:colOff>
      <xdr:row>23</xdr:row>
      <xdr:rowOff>85725</xdr:rowOff>
    </xdr:to>
    <xdr:sp macro="" textlink="">
      <xdr:nvSpPr>
        <xdr:cNvPr id="42046" name="Text 11"/>
        <xdr:cNvSpPr>
          <a:spLocks noChangeArrowheads="1"/>
        </xdr:cNvSpPr>
      </xdr:nvSpPr>
      <xdr:spPr bwMode="auto">
        <a:xfrm>
          <a:off x="142875" y="4191000"/>
          <a:ext cx="5524500" cy="25717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en-GB" sz="900" b="1" i="0" u="none" strike="noStrike" baseline="0">
              <a:solidFill>
                <a:srgbClr val="FF0000"/>
              </a:solidFill>
              <a:latin typeface="Arial"/>
              <a:cs typeface="Arial"/>
            </a:rPr>
            <a:t>NOTE:</a:t>
          </a:r>
          <a:r>
            <a:rPr lang="en-GB" sz="900" b="0" i="0" u="none" strike="noStrike" baseline="0">
              <a:solidFill>
                <a:srgbClr val="000000"/>
              </a:solidFill>
              <a:latin typeface="Arial"/>
              <a:cs typeface="Arial"/>
            </a:rPr>
            <a:t> </a:t>
          </a:r>
          <a:r>
            <a:rPr lang="en-GB" sz="900" b="0" i="0" u="none" strike="noStrike" baseline="0">
              <a:solidFill>
                <a:srgbClr val="0000FF"/>
              </a:solidFill>
              <a:latin typeface="Arial"/>
              <a:cs typeface="Arial"/>
            </a:rPr>
            <a:t>Calculation is based on the center of gravity being equally distributed between attachment points. </a:t>
          </a:r>
        </a:p>
      </xdr:txBody>
    </xdr:sp>
    <xdr:clientData/>
  </xdr:twoCellAnchor>
  <xdr:twoCellAnchor editAs="absolute">
    <xdr:from>
      <xdr:col>0</xdr:col>
      <xdr:colOff>47625</xdr:colOff>
      <xdr:row>0</xdr:row>
      <xdr:rowOff>38100</xdr:rowOff>
    </xdr:from>
    <xdr:to>
      <xdr:col>0</xdr:col>
      <xdr:colOff>942975</xdr:colOff>
      <xdr:row>1</xdr:row>
      <xdr:rowOff>104775</xdr:rowOff>
    </xdr:to>
    <xdr:pic>
      <xdr:nvPicPr>
        <xdr:cNvPr id="42125" name="Picture 69">
          <a:hlinkClick xmlns:r="http://schemas.openxmlformats.org/officeDocument/2006/relationships" r:id="rId1" tooltip="Return to Main Menu"/>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625" y="38100"/>
          <a:ext cx="895350" cy="228600"/>
        </a:xfrm>
        <a:prstGeom prst="rect">
          <a:avLst/>
        </a:prstGeom>
        <a:noFill/>
        <a:ln w="9525">
          <a:noFill/>
          <a:miter lim="800000"/>
          <a:headEnd/>
          <a:tailEnd/>
        </a:ln>
      </xdr:spPr>
    </xdr:pic>
    <xdr:clientData fPrintsWithSheet="0"/>
  </xdr:twoCellAnchor>
  <xdr:twoCellAnchor editAs="absolute">
    <xdr:from>
      <xdr:col>0</xdr:col>
      <xdr:colOff>47625</xdr:colOff>
      <xdr:row>1</xdr:row>
      <xdr:rowOff>114300</xdr:rowOff>
    </xdr:from>
    <xdr:to>
      <xdr:col>0</xdr:col>
      <xdr:colOff>942975</xdr:colOff>
      <xdr:row>2</xdr:row>
      <xdr:rowOff>114300</xdr:rowOff>
    </xdr:to>
    <xdr:pic>
      <xdr:nvPicPr>
        <xdr:cNvPr id="42126" name="Picture 70">
          <a:hlinkClick xmlns:r="http://schemas.openxmlformats.org/officeDocument/2006/relationships" r:id="rId3" tooltip="Go To Master Index"/>
        </xdr:cNvPr>
        <xdr:cNvPicPr>
          <a:picLocks noChangeAspect="1" noChangeArrowheads="1"/>
        </xdr:cNvPicPr>
      </xdr:nvPicPr>
      <xdr:blipFill>
        <a:blip xmlns:r="http://schemas.openxmlformats.org/officeDocument/2006/relationships" r:embed="rId4" cstate="print"/>
        <a:srcRect/>
        <a:stretch>
          <a:fillRect/>
        </a:stretch>
      </xdr:blipFill>
      <xdr:spPr bwMode="auto">
        <a:xfrm>
          <a:off x="47625" y="27622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2</xdr:row>
      <xdr:rowOff>142875</xdr:rowOff>
    </xdr:from>
    <xdr:to>
      <xdr:col>0</xdr:col>
      <xdr:colOff>942975</xdr:colOff>
      <xdr:row>3</xdr:row>
      <xdr:rowOff>104775</xdr:rowOff>
    </xdr:to>
    <xdr:pic>
      <xdr:nvPicPr>
        <xdr:cNvPr id="42127" name="Picture 71">
          <a:hlinkClick xmlns:r="http://schemas.openxmlformats.org/officeDocument/2006/relationships" r:id="rId5" tooltip="Go To Weights Menu"/>
        </xdr:cNvPr>
        <xdr:cNvPicPr>
          <a:picLocks noChangeAspect="1" noChangeArrowheads="1"/>
        </xdr:cNvPicPr>
      </xdr:nvPicPr>
      <xdr:blipFill>
        <a:blip xmlns:r="http://schemas.openxmlformats.org/officeDocument/2006/relationships" r:embed="rId6" cstate="print"/>
        <a:srcRect/>
        <a:stretch>
          <a:fillRect/>
        </a:stretch>
      </xdr:blipFill>
      <xdr:spPr bwMode="auto">
        <a:xfrm>
          <a:off x="47625" y="533400"/>
          <a:ext cx="895350" cy="228600"/>
        </a:xfrm>
        <a:prstGeom prst="rect">
          <a:avLst/>
        </a:prstGeom>
        <a:noFill/>
        <a:ln w="9525">
          <a:noFill/>
          <a:miter lim="800000"/>
          <a:headEnd/>
          <a:tailEnd/>
        </a:ln>
      </xdr:spPr>
    </xdr:pic>
    <xdr:clientData fPrintsWithSheet="0"/>
  </xdr:twoCellAnchor>
  <xdr:twoCellAnchor editAs="absolute">
    <xdr:from>
      <xdr:col>0</xdr:col>
      <xdr:colOff>47625</xdr:colOff>
      <xdr:row>3</xdr:row>
      <xdr:rowOff>104775</xdr:rowOff>
    </xdr:from>
    <xdr:to>
      <xdr:col>0</xdr:col>
      <xdr:colOff>942975</xdr:colOff>
      <xdr:row>4</xdr:row>
      <xdr:rowOff>142875</xdr:rowOff>
    </xdr:to>
    <xdr:pic>
      <xdr:nvPicPr>
        <xdr:cNvPr id="42128" name="Picture 72">
          <a:hlinkClick xmlns:r="http://schemas.openxmlformats.org/officeDocument/2006/relationships" r:id="rId7" tooltip="Go To Tensions Menu"/>
        </xdr:cNvPr>
        <xdr:cNvPicPr>
          <a:picLocks noChangeAspect="1" noChangeArrowheads="1"/>
        </xdr:cNvPicPr>
      </xdr:nvPicPr>
      <xdr:blipFill>
        <a:blip xmlns:r="http://schemas.openxmlformats.org/officeDocument/2006/relationships" r:embed="rId8" cstate="print"/>
        <a:srcRect/>
        <a:stretch>
          <a:fillRect/>
        </a:stretch>
      </xdr:blipFill>
      <xdr:spPr bwMode="auto">
        <a:xfrm>
          <a:off x="47625" y="762000"/>
          <a:ext cx="895350" cy="228600"/>
        </a:xfrm>
        <a:prstGeom prst="rect">
          <a:avLst/>
        </a:prstGeom>
        <a:noFill/>
        <a:ln w="9525">
          <a:noFill/>
          <a:miter lim="800000"/>
          <a:headEnd/>
          <a:tailEnd/>
        </a:ln>
      </xdr:spPr>
    </xdr:pic>
    <xdr:clientData fPrintsWithSheet="0"/>
  </xdr:twoCellAnchor>
  <xdr:twoCellAnchor editAs="absolute">
    <xdr:from>
      <xdr:col>0</xdr:col>
      <xdr:colOff>47625</xdr:colOff>
      <xdr:row>4</xdr:row>
      <xdr:rowOff>142875</xdr:rowOff>
    </xdr:from>
    <xdr:to>
      <xdr:col>0</xdr:col>
      <xdr:colOff>942975</xdr:colOff>
      <xdr:row>5</xdr:row>
      <xdr:rowOff>171450</xdr:rowOff>
    </xdr:to>
    <xdr:pic>
      <xdr:nvPicPr>
        <xdr:cNvPr id="42129" name="Picture 73">
          <a:hlinkClick xmlns:r="http://schemas.openxmlformats.org/officeDocument/2006/relationships" r:id="rId9" tooltip="Go To Equipment Menu"/>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7625" y="990600"/>
          <a:ext cx="895350" cy="228600"/>
        </a:xfrm>
        <a:prstGeom prst="rect">
          <a:avLst/>
        </a:prstGeom>
        <a:noFill/>
        <a:ln w="9525">
          <a:noFill/>
          <a:miter lim="800000"/>
          <a:headEnd/>
          <a:tailEnd/>
        </a:ln>
      </xdr:spPr>
    </xdr:pic>
    <xdr:clientData fPrintsWithSheet="0"/>
  </xdr:twoCellAnchor>
  <xdr:twoCellAnchor editAs="absolute">
    <xdr:from>
      <xdr:col>0</xdr:col>
      <xdr:colOff>85725</xdr:colOff>
      <xdr:row>6</xdr:row>
      <xdr:rowOff>0</xdr:rowOff>
    </xdr:from>
    <xdr:to>
      <xdr:col>0</xdr:col>
      <xdr:colOff>314325</xdr:colOff>
      <xdr:row>7</xdr:row>
      <xdr:rowOff>38100</xdr:rowOff>
    </xdr:to>
    <xdr:pic>
      <xdr:nvPicPr>
        <xdr:cNvPr id="42130" name="Picture 74" descr="Code Information">
          <a:hlinkClick xmlns:r="http://schemas.openxmlformats.org/officeDocument/2006/relationships" r:id="rId11" tooltip="Code Information"/>
        </xdr:cNvPr>
        <xdr:cNvPicPr>
          <a:picLocks noChangeAspect="1" noChangeArrowheads="1"/>
        </xdr:cNvPicPr>
      </xdr:nvPicPr>
      <xdr:blipFill>
        <a:blip xmlns:r="http://schemas.openxmlformats.org/officeDocument/2006/relationships" r:embed="rId12" cstate="print"/>
        <a:srcRect/>
        <a:stretch>
          <a:fillRect/>
        </a:stretch>
      </xdr:blipFill>
      <xdr:spPr bwMode="auto">
        <a:xfrm>
          <a:off x="85725" y="1257300"/>
          <a:ext cx="228600" cy="228600"/>
        </a:xfrm>
        <a:prstGeom prst="rect">
          <a:avLst/>
        </a:prstGeom>
        <a:noFill/>
        <a:ln w="9525">
          <a:noFill/>
          <a:miter lim="800000"/>
          <a:headEnd/>
          <a:tailEnd/>
        </a:ln>
      </xdr:spPr>
    </xdr:pic>
    <xdr:clientData fPrintsWithSheet="0"/>
  </xdr:twoCellAnchor>
  <xdr:twoCellAnchor editAs="absolute">
    <xdr:from>
      <xdr:col>0</xdr:col>
      <xdr:colOff>342900</xdr:colOff>
      <xdr:row>6</xdr:row>
      <xdr:rowOff>0</xdr:rowOff>
    </xdr:from>
    <xdr:to>
      <xdr:col>0</xdr:col>
      <xdr:colOff>571500</xdr:colOff>
      <xdr:row>7</xdr:row>
      <xdr:rowOff>38100</xdr:rowOff>
    </xdr:to>
    <xdr:pic>
      <xdr:nvPicPr>
        <xdr:cNvPr id="42131" name="Picture 75" descr="help">
          <a:hlinkClick xmlns:r="http://schemas.openxmlformats.org/officeDocument/2006/relationships" r:id="rId13" tooltip="Help"/>
        </xdr:cNvPr>
        <xdr:cNvPicPr>
          <a:picLocks noChangeAspect="1" noChangeArrowheads="1"/>
        </xdr:cNvPicPr>
      </xdr:nvPicPr>
      <xdr:blipFill>
        <a:blip xmlns:r="http://schemas.openxmlformats.org/officeDocument/2006/relationships" r:embed="rId14" cstate="print"/>
        <a:srcRect/>
        <a:stretch>
          <a:fillRect/>
        </a:stretch>
      </xdr:blipFill>
      <xdr:spPr bwMode="auto">
        <a:xfrm>
          <a:off x="342900" y="1257300"/>
          <a:ext cx="228600" cy="228600"/>
        </a:xfrm>
        <a:prstGeom prst="rect">
          <a:avLst/>
        </a:prstGeom>
        <a:noFill/>
        <a:ln w="9525">
          <a:noFill/>
          <a:miter lim="800000"/>
          <a:headEnd/>
          <a:tailEnd/>
        </a:ln>
      </xdr:spPr>
    </xdr:pic>
    <xdr:clientData fPrintsWithSheet="0"/>
  </xdr:twoCellAnchor>
  <xdr:twoCellAnchor editAs="absolute">
    <xdr:from>
      <xdr:col>0</xdr:col>
      <xdr:colOff>609600</xdr:colOff>
      <xdr:row>6</xdr:row>
      <xdr:rowOff>0</xdr:rowOff>
    </xdr:from>
    <xdr:to>
      <xdr:col>0</xdr:col>
      <xdr:colOff>838200</xdr:colOff>
      <xdr:row>7</xdr:row>
      <xdr:rowOff>38100</xdr:rowOff>
    </xdr:to>
    <xdr:pic>
      <xdr:nvPicPr>
        <xdr:cNvPr id="42132" name="Picture 76" descr="star">
          <a:hlinkClick xmlns:r="http://schemas.openxmlformats.org/officeDocument/2006/relationships" r:id="rId15" tooltip="Conversions"/>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09600" y="1257300"/>
          <a:ext cx="228600" cy="228600"/>
        </a:xfrm>
        <a:prstGeom prst="rect">
          <a:avLst/>
        </a:prstGeom>
        <a:noFill/>
        <a:ln w="9525">
          <a:noFill/>
          <a:miter lim="800000"/>
          <a:headEnd/>
          <a:tailEnd/>
        </a:ln>
      </xdr:spPr>
    </xdr:pic>
    <xdr:clientData fPrintsWithSheet="0"/>
  </xdr:twoCellAnchor>
  <xdr:twoCellAnchor editAs="oneCell">
    <xdr:from>
      <xdr:col>8</xdr:col>
      <xdr:colOff>66675</xdr:colOff>
      <xdr:row>24</xdr:row>
      <xdr:rowOff>190500</xdr:rowOff>
    </xdr:from>
    <xdr:to>
      <xdr:col>11</xdr:col>
      <xdr:colOff>552450</xdr:colOff>
      <xdr:row>33</xdr:row>
      <xdr:rowOff>9525</xdr:rowOff>
    </xdr:to>
    <xdr:sp macro="" textlink="">
      <xdr:nvSpPr>
        <xdr:cNvPr id="42068" name="Text 4"/>
        <xdr:cNvSpPr>
          <a:spLocks noChangeArrowheads="1"/>
        </xdr:cNvSpPr>
      </xdr:nvSpPr>
      <xdr:spPr bwMode="auto">
        <a:xfrm>
          <a:off x="6286500" y="4743450"/>
          <a:ext cx="2114550" cy="163830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en-GB" sz="1000" b="1" i="0" u="none" strike="noStrike" baseline="0">
              <a:solidFill>
                <a:srgbClr val="FF0000"/>
              </a:solidFill>
              <a:latin typeface="Arial"/>
              <a:cs typeface="Arial"/>
            </a:rPr>
            <a:t>All calculations must be verified by a qualified person, final approval and decision for use of this type of rigging is the responsibility of the qualified person.</a:t>
          </a:r>
        </a:p>
        <a:p>
          <a:pPr algn="ctr" rtl="0">
            <a:defRPr sz="1000"/>
          </a:pPr>
          <a:r>
            <a:rPr lang="en-GB" sz="1000" b="0" i="0" u="none" strike="noStrike" baseline="0">
              <a:solidFill>
                <a:srgbClr val="0000FF"/>
              </a:solidFill>
              <a:latin typeface="Arial"/>
              <a:cs typeface="Arial"/>
            </a:rPr>
            <a:t>Refer to ASME B30.9 for recommendations on sling loading of multiple leg slings.</a:t>
          </a:r>
        </a:p>
      </xdr:txBody>
    </xdr:sp>
    <xdr:clientData/>
  </xdr:twoCellAnchor>
  <xdr:twoCellAnchor editAs="oneCell">
    <xdr:from>
      <xdr:col>6</xdr:col>
      <xdr:colOff>419100</xdr:colOff>
      <xdr:row>2</xdr:row>
      <xdr:rowOff>114300</xdr:rowOff>
    </xdr:from>
    <xdr:to>
      <xdr:col>11</xdr:col>
      <xdr:colOff>847725</xdr:colOff>
      <xdr:row>22</xdr:row>
      <xdr:rowOff>114300</xdr:rowOff>
    </xdr:to>
    <xdr:pic>
      <xdr:nvPicPr>
        <xdr:cNvPr id="42134" name="Picture 85"/>
        <xdr:cNvPicPr>
          <a:picLocks noChangeAspect="1" noChangeArrowheads="1"/>
        </xdr:cNvPicPr>
      </xdr:nvPicPr>
      <xdr:blipFill>
        <a:blip xmlns:r="http://schemas.openxmlformats.org/officeDocument/2006/relationships" r:embed="rId17" cstate="print"/>
        <a:srcRect/>
        <a:stretch>
          <a:fillRect/>
        </a:stretch>
      </xdr:blipFill>
      <xdr:spPr bwMode="auto">
        <a:xfrm>
          <a:off x="5353050" y="504825"/>
          <a:ext cx="3343275" cy="37814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628650</xdr:colOff>
          <xdr:row>20</xdr:row>
          <xdr:rowOff>19050</xdr:rowOff>
        </xdr:from>
        <xdr:to>
          <xdr:col>3</xdr:col>
          <xdr:colOff>600075</xdr:colOff>
          <xdr:row>21</xdr:row>
          <xdr:rowOff>19050</xdr:rowOff>
        </xdr:to>
        <xdr:sp macro="" textlink="">
          <xdr:nvSpPr>
            <xdr:cNvPr id="41991" name="Drop Down 7" hidden="1">
              <a:extLst>
                <a:ext uri="{63B3BB69-23CF-44E3-9099-C40C66FF867C}">
                  <a14:compatExt spid="_x0000_s419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628650</xdr:colOff>
          <xdr:row>17</xdr:row>
          <xdr:rowOff>152400</xdr:rowOff>
        </xdr:from>
        <xdr:to>
          <xdr:col>3</xdr:col>
          <xdr:colOff>600075</xdr:colOff>
          <xdr:row>18</xdr:row>
          <xdr:rowOff>190500</xdr:rowOff>
        </xdr:to>
        <xdr:sp macro="" textlink="">
          <xdr:nvSpPr>
            <xdr:cNvPr id="41990" name="Drop Down 6" hidden="1">
              <a:extLst>
                <a:ext uri="{63B3BB69-23CF-44E3-9099-C40C66FF867C}">
                  <a14:compatExt spid="_x0000_s419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857250</xdr:colOff>
          <xdr:row>19</xdr:row>
          <xdr:rowOff>0</xdr:rowOff>
        </xdr:from>
        <xdr:to>
          <xdr:col>3</xdr:col>
          <xdr:colOff>600075</xdr:colOff>
          <xdr:row>20</xdr:row>
          <xdr:rowOff>0</xdr:rowOff>
        </xdr:to>
        <xdr:sp macro="" textlink="">
          <xdr:nvSpPr>
            <xdr:cNvPr id="41989" name="Drop Down 5" hidden="1">
              <a:extLst>
                <a:ext uri="{63B3BB69-23CF-44E3-9099-C40C66FF867C}">
                  <a14:compatExt spid="_x0000_s419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219075</xdr:colOff>
          <xdr:row>1</xdr:row>
          <xdr:rowOff>104775</xdr:rowOff>
        </xdr:from>
        <xdr:to>
          <xdr:col>2</xdr:col>
          <xdr:colOff>457200</xdr:colOff>
          <xdr:row>2</xdr:row>
          <xdr:rowOff>57150</xdr:rowOff>
        </xdr:to>
        <xdr:sp macro="" textlink="">
          <xdr:nvSpPr>
            <xdr:cNvPr id="42010" name="Option Button 26" hidden="1">
              <a:extLst>
                <a:ext uri="{63B3BB69-23CF-44E3-9099-C40C66FF867C}">
                  <a14:compatExt spid="_x0000_s420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438150</xdr:colOff>
          <xdr:row>1</xdr:row>
          <xdr:rowOff>104775</xdr:rowOff>
        </xdr:from>
        <xdr:to>
          <xdr:col>2</xdr:col>
          <xdr:colOff>1038225</xdr:colOff>
          <xdr:row>2</xdr:row>
          <xdr:rowOff>57150</xdr:rowOff>
        </xdr:to>
        <xdr:sp macro="" textlink="">
          <xdr:nvSpPr>
            <xdr:cNvPr id="42011" name="Option Button 27" hidden="1">
              <a:extLst>
                <a:ext uri="{63B3BB69-23CF-44E3-9099-C40C66FF867C}">
                  <a14:compatExt spid="_x0000_s420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Metric</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180975</xdr:colOff>
          <xdr:row>1</xdr:row>
          <xdr:rowOff>19050</xdr:rowOff>
        </xdr:from>
        <xdr:to>
          <xdr:col>2</xdr:col>
          <xdr:colOff>1123950</xdr:colOff>
          <xdr:row>2</xdr:row>
          <xdr:rowOff>104775</xdr:rowOff>
        </xdr:to>
        <xdr:sp macro="" textlink="">
          <xdr:nvSpPr>
            <xdr:cNvPr id="42012" name="Group Box 28" hidden="1">
              <a:extLst>
                <a:ext uri="{63B3BB69-23CF-44E3-9099-C40C66FF867C}">
                  <a14:compatExt spid="_x0000_s42012"/>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Measurement Units</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editAs="oneCell">
    <xdr:from>
      <xdr:col>4</xdr:col>
      <xdr:colOff>561975</xdr:colOff>
      <xdr:row>3</xdr:row>
      <xdr:rowOff>114300</xdr:rowOff>
    </xdr:from>
    <xdr:to>
      <xdr:col>10</xdr:col>
      <xdr:colOff>28575</xdr:colOff>
      <xdr:row>21</xdr:row>
      <xdr:rowOff>9525</xdr:rowOff>
    </xdr:to>
    <xdr:pic>
      <xdr:nvPicPr>
        <xdr:cNvPr id="55398"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4886325" y="800100"/>
          <a:ext cx="4105275" cy="3352800"/>
        </a:xfrm>
        <a:prstGeom prst="rect">
          <a:avLst/>
        </a:prstGeom>
        <a:noFill/>
        <a:ln w="9525">
          <a:noFill/>
          <a:miter lim="800000"/>
          <a:headEnd/>
          <a:tailEnd/>
        </a:ln>
      </xdr:spPr>
    </xdr:pic>
    <xdr:clientData/>
  </xdr:twoCellAnchor>
  <xdr:twoCellAnchor editAs="absolute">
    <xdr:from>
      <xdr:col>4</xdr:col>
      <xdr:colOff>9525</xdr:colOff>
      <xdr:row>0</xdr:row>
      <xdr:rowOff>19050</xdr:rowOff>
    </xdr:from>
    <xdr:to>
      <xdr:col>6</xdr:col>
      <xdr:colOff>19050</xdr:colOff>
      <xdr:row>2</xdr:row>
      <xdr:rowOff>190500</xdr:rowOff>
    </xdr:to>
    <xdr:grpSp>
      <xdr:nvGrpSpPr>
        <xdr:cNvPr id="55399" name="Group 3"/>
        <xdr:cNvGrpSpPr>
          <a:grpSpLocks/>
        </xdr:cNvGrpSpPr>
      </xdr:nvGrpSpPr>
      <xdr:grpSpPr bwMode="auto">
        <a:xfrm>
          <a:off x="4333875" y="19050"/>
          <a:ext cx="1228725" cy="657225"/>
          <a:chOff x="300" y="176"/>
          <a:chExt cx="149" cy="58"/>
        </a:xfrm>
      </xdr:grpSpPr>
      <xdr:grpSp>
        <xdr:nvGrpSpPr>
          <xdr:cNvPr id="55410" name="Group 4"/>
          <xdr:cNvGrpSpPr>
            <a:grpSpLocks/>
          </xdr:cNvGrpSpPr>
        </xdr:nvGrpSpPr>
        <xdr:grpSpPr bwMode="auto">
          <a:xfrm>
            <a:off x="300" y="176"/>
            <a:ext cx="149" cy="58"/>
            <a:chOff x="300" y="176"/>
            <a:chExt cx="149" cy="58"/>
          </a:xfrm>
        </xdr:grpSpPr>
        <xdr:sp macro="" textlink="">
          <xdr:nvSpPr>
            <xdr:cNvPr id="55411" name="Rectangle 5"/>
            <xdr:cNvSpPr>
              <a:spLocks noChangeArrowheads="1"/>
            </xdr:cNvSpPr>
          </xdr:nvSpPr>
          <xdr:spPr bwMode="auto">
            <a:xfrm>
              <a:off x="300" y="176"/>
              <a:ext cx="149" cy="58"/>
            </a:xfrm>
            <a:prstGeom prst="rect">
              <a:avLst/>
            </a:prstGeom>
            <a:solidFill>
              <a:srgbClr val="FFFFFF"/>
            </a:solidFill>
            <a:ln w="9525">
              <a:noFill/>
              <a:miter lim="800000"/>
              <a:headEnd/>
              <a:tailEnd/>
            </a:ln>
          </xdr:spPr>
        </xdr:sp>
        <xdr:sp macro="" textlink="">
          <xdr:nvSpPr>
            <xdr:cNvPr id="55412" name="Rectangle 6"/>
            <xdr:cNvSpPr>
              <a:spLocks noChangeArrowheads="1"/>
            </xdr:cNvSpPr>
          </xdr:nvSpPr>
          <xdr:spPr bwMode="auto">
            <a:xfrm>
              <a:off x="300" y="194"/>
              <a:ext cx="146" cy="32"/>
            </a:xfrm>
            <a:prstGeom prst="rect">
              <a:avLst/>
            </a:prstGeom>
            <a:solidFill>
              <a:srgbClr val="FFFF99"/>
            </a:solidFill>
            <a:ln w="9525">
              <a:solidFill>
                <a:srgbClr val="000000"/>
              </a:solidFill>
              <a:miter lim="800000"/>
              <a:headEnd/>
              <a:tailEnd/>
            </a:ln>
          </xdr:spPr>
        </xdr:sp>
      </xdr:grpSp>
    </xdr:grpSp>
    <xdr:clientData fPrintsWithSheet="0"/>
  </xdr:twoCellAnchor>
  <xdr:twoCellAnchor editAs="absolute">
    <xdr:from>
      <xdr:col>0</xdr:col>
      <xdr:colOff>47625</xdr:colOff>
      <xdr:row>0</xdr:row>
      <xdr:rowOff>66675</xdr:rowOff>
    </xdr:from>
    <xdr:to>
      <xdr:col>0</xdr:col>
      <xdr:colOff>942975</xdr:colOff>
      <xdr:row>1</xdr:row>
      <xdr:rowOff>133350</xdr:rowOff>
    </xdr:to>
    <xdr:pic>
      <xdr:nvPicPr>
        <xdr:cNvPr id="55400" name="Picture 32">
          <a:hlinkClick xmlns:r="http://schemas.openxmlformats.org/officeDocument/2006/relationships" r:id="rId2" tooltip="Return to Main Menu"/>
        </xdr:cNvPr>
        <xdr:cNvPicPr>
          <a:picLocks noChangeAspect="1" noChangeArrowheads="1"/>
        </xdr:cNvPicPr>
      </xdr:nvPicPr>
      <xdr:blipFill>
        <a:blip xmlns:r="http://schemas.openxmlformats.org/officeDocument/2006/relationships" r:embed="rId3" cstate="print"/>
        <a:srcRect/>
        <a:stretch>
          <a:fillRect/>
        </a:stretch>
      </xdr:blipFill>
      <xdr:spPr bwMode="auto">
        <a:xfrm>
          <a:off x="47625" y="6667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1</xdr:row>
      <xdr:rowOff>142875</xdr:rowOff>
    </xdr:from>
    <xdr:to>
      <xdr:col>0</xdr:col>
      <xdr:colOff>942975</xdr:colOff>
      <xdr:row>2</xdr:row>
      <xdr:rowOff>47625</xdr:rowOff>
    </xdr:to>
    <xdr:pic>
      <xdr:nvPicPr>
        <xdr:cNvPr id="55401" name="Picture 33">
          <a:hlinkClick xmlns:r="http://schemas.openxmlformats.org/officeDocument/2006/relationships" r:id="rId4" tooltip="Go To Master Index"/>
        </xdr:cNvPr>
        <xdr:cNvPicPr>
          <a:picLocks noChangeAspect="1" noChangeArrowheads="1"/>
        </xdr:cNvPicPr>
      </xdr:nvPicPr>
      <xdr:blipFill>
        <a:blip xmlns:r="http://schemas.openxmlformats.org/officeDocument/2006/relationships" r:embed="rId5" cstate="print"/>
        <a:srcRect/>
        <a:stretch>
          <a:fillRect/>
        </a:stretch>
      </xdr:blipFill>
      <xdr:spPr bwMode="auto">
        <a:xfrm>
          <a:off x="47625" y="304800"/>
          <a:ext cx="895350" cy="228600"/>
        </a:xfrm>
        <a:prstGeom prst="rect">
          <a:avLst/>
        </a:prstGeom>
        <a:noFill/>
        <a:ln w="9525">
          <a:noFill/>
          <a:miter lim="800000"/>
          <a:headEnd/>
          <a:tailEnd/>
        </a:ln>
      </xdr:spPr>
    </xdr:pic>
    <xdr:clientData fPrintsWithSheet="0"/>
  </xdr:twoCellAnchor>
  <xdr:twoCellAnchor editAs="absolute">
    <xdr:from>
      <xdr:col>0</xdr:col>
      <xdr:colOff>47625</xdr:colOff>
      <xdr:row>2</xdr:row>
      <xdr:rowOff>76200</xdr:rowOff>
    </xdr:from>
    <xdr:to>
      <xdr:col>0</xdr:col>
      <xdr:colOff>942975</xdr:colOff>
      <xdr:row>3</xdr:row>
      <xdr:rowOff>104775</xdr:rowOff>
    </xdr:to>
    <xdr:pic>
      <xdr:nvPicPr>
        <xdr:cNvPr id="55402" name="Picture 34">
          <a:hlinkClick xmlns:r="http://schemas.openxmlformats.org/officeDocument/2006/relationships" r:id="rId6" tooltip="Go To Weights Menu"/>
        </xdr:cNvPr>
        <xdr:cNvPicPr>
          <a:picLocks noChangeAspect="1" noChangeArrowheads="1"/>
        </xdr:cNvPicPr>
      </xdr:nvPicPr>
      <xdr:blipFill>
        <a:blip xmlns:r="http://schemas.openxmlformats.org/officeDocument/2006/relationships" r:embed="rId7" cstate="print"/>
        <a:srcRect/>
        <a:stretch>
          <a:fillRect/>
        </a:stretch>
      </xdr:blipFill>
      <xdr:spPr bwMode="auto">
        <a:xfrm>
          <a:off x="47625" y="56197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3</xdr:row>
      <xdr:rowOff>104775</xdr:rowOff>
    </xdr:from>
    <xdr:to>
      <xdr:col>0</xdr:col>
      <xdr:colOff>942975</xdr:colOff>
      <xdr:row>4</xdr:row>
      <xdr:rowOff>133350</xdr:rowOff>
    </xdr:to>
    <xdr:pic>
      <xdr:nvPicPr>
        <xdr:cNvPr id="55403" name="Picture 35">
          <a:hlinkClick xmlns:r="http://schemas.openxmlformats.org/officeDocument/2006/relationships" r:id="rId8" tooltip="Go To Tension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79057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4</xdr:row>
      <xdr:rowOff>133350</xdr:rowOff>
    </xdr:from>
    <xdr:to>
      <xdr:col>0</xdr:col>
      <xdr:colOff>942975</xdr:colOff>
      <xdr:row>5</xdr:row>
      <xdr:rowOff>161925</xdr:rowOff>
    </xdr:to>
    <xdr:pic>
      <xdr:nvPicPr>
        <xdr:cNvPr id="55404" name="Picture 36">
          <a:hlinkClick xmlns:r="http://schemas.openxmlformats.org/officeDocument/2006/relationships" r:id="rId10" tooltip="Go To Equipment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47625" y="1019175"/>
          <a:ext cx="895350" cy="228600"/>
        </a:xfrm>
        <a:prstGeom prst="rect">
          <a:avLst/>
        </a:prstGeom>
        <a:noFill/>
        <a:ln w="9525">
          <a:noFill/>
          <a:miter lim="800000"/>
          <a:headEnd/>
          <a:tailEnd/>
        </a:ln>
      </xdr:spPr>
    </xdr:pic>
    <xdr:clientData fPrintsWithSheet="0"/>
  </xdr:twoCellAnchor>
  <xdr:twoCellAnchor editAs="absolute">
    <xdr:from>
      <xdr:col>0</xdr:col>
      <xdr:colOff>95250</xdr:colOff>
      <xdr:row>6</xdr:row>
      <xdr:rowOff>0</xdr:rowOff>
    </xdr:from>
    <xdr:to>
      <xdr:col>0</xdr:col>
      <xdr:colOff>323850</xdr:colOff>
      <xdr:row>7</xdr:row>
      <xdr:rowOff>28575</xdr:rowOff>
    </xdr:to>
    <xdr:pic>
      <xdr:nvPicPr>
        <xdr:cNvPr id="55405" name="Picture 37" descr="Code Information">
          <a:hlinkClick xmlns:r="http://schemas.openxmlformats.org/officeDocument/2006/relationships" r:id="rId12" tooltip="Code Information"/>
        </xdr:cNvPr>
        <xdr:cNvPicPr>
          <a:picLocks noChangeAspect="1" noChangeArrowheads="1"/>
        </xdr:cNvPicPr>
      </xdr:nvPicPr>
      <xdr:blipFill>
        <a:blip xmlns:r="http://schemas.openxmlformats.org/officeDocument/2006/relationships" r:embed="rId13" cstate="print"/>
        <a:srcRect/>
        <a:stretch>
          <a:fillRect/>
        </a:stretch>
      </xdr:blipFill>
      <xdr:spPr bwMode="auto">
        <a:xfrm>
          <a:off x="95250" y="1285875"/>
          <a:ext cx="228600" cy="228600"/>
        </a:xfrm>
        <a:prstGeom prst="rect">
          <a:avLst/>
        </a:prstGeom>
        <a:noFill/>
        <a:ln w="9525">
          <a:noFill/>
          <a:miter lim="800000"/>
          <a:headEnd/>
          <a:tailEnd/>
        </a:ln>
      </xdr:spPr>
    </xdr:pic>
    <xdr:clientData fPrintsWithSheet="0"/>
  </xdr:twoCellAnchor>
  <xdr:twoCellAnchor editAs="absolute">
    <xdr:from>
      <xdr:col>0</xdr:col>
      <xdr:colOff>352425</xdr:colOff>
      <xdr:row>6</xdr:row>
      <xdr:rowOff>0</xdr:rowOff>
    </xdr:from>
    <xdr:to>
      <xdr:col>0</xdr:col>
      <xdr:colOff>581025</xdr:colOff>
      <xdr:row>7</xdr:row>
      <xdr:rowOff>28575</xdr:rowOff>
    </xdr:to>
    <xdr:pic>
      <xdr:nvPicPr>
        <xdr:cNvPr id="55406" name="Picture 38" descr="help">
          <a:hlinkClick xmlns:r="http://schemas.openxmlformats.org/officeDocument/2006/relationships" r:id="rId14" tooltip="Help"/>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52425" y="1285875"/>
          <a:ext cx="228600" cy="228600"/>
        </a:xfrm>
        <a:prstGeom prst="rect">
          <a:avLst/>
        </a:prstGeom>
        <a:noFill/>
        <a:ln w="9525">
          <a:noFill/>
          <a:miter lim="800000"/>
          <a:headEnd/>
          <a:tailEnd/>
        </a:ln>
      </xdr:spPr>
    </xdr:pic>
    <xdr:clientData fPrintsWithSheet="0"/>
  </xdr:twoCellAnchor>
  <xdr:twoCellAnchor editAs="absolute">
    <xdr:from>
      <xdr:col>0</xdr:col>
      <xdr:colOff>619125</xdr:colOff>
      <xdr:row>6</xdr:row>
      <xdr:rowOff>0</xdr:rowOff>
    </xdr:from>
    <xdr:to>
      <xdr:col>0</xdr:col>
      <xdr:colOff>847725</xdr:colOff>
      <xdr:row>7</xdr:row>
      <xdr:rowOff>28575</xdr:rowOff>
    </xdr:to>
    <xdr:pic>
      <xdr:nvPicPr>
        <xdr:cNvPr id="55407" name="Picture 39" descr="star">
          <a:hlinkClick xmlns:r="http://schemas.openxmlformats.org/officeDocument/2006/relationships" r:id="rId16" tooltip="Conversions"/>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19125" y="1285875"/>
          <a:ext cx="228600" cy="228600"/>
        </a:xfrm>
        <a:prstGeom prst="rect">
          <a:avLst/>
        </a:prstGeom>
        <a:noFill/>
        <a:ln w="9525">
          <a:noFill/>
          <a:miter lim="800000"/>
          <a:headEnd/>
          <a:tailEnd/>
        </a:ln>
      </xdr:spPr>
    </xdr:pic>
    <xdr:clientData fPrintsWithSheet="0"/>
  </xdr:twoCellAnchor>
  <xdr:twoCellAnchor editAs="absolute">
    <xdr:from>
      <xdr:col>0</xdr:col>
      <xdr:colOff>781050</xdr:colOff>
      <xdr:row>15</xdr:row>
      <xdr:rowOff>0</xdr:rowOff>
    </xdr:from>
    <xdr:to>
      <xdr:col>4</xdr:col>
      <xdr:colOff>371475</xdr:colOff>
      <xdr:row>18</xdr:row>
      <xdr:rowOff>57150</xdr:rowOff>
    </xdr:to>
    <xdr:sp macro="" textlink="">
      <xdr:nvSpPr>
        <xdr:cNvPr id="55336" name="Text 11"/>
        <xdr:cNvSpPr>
          <a:spLocks noChangeArrowheads="1"/>
        </xdr:cNvSpPr>
      </xdr:nvSpPr>
      <xdr:spPr bwMode="auto">
        <a:xfrm>
          <a:off x="781050" y="2962275"/>
          <a:ext cx="3914775" cy="75247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en-GB" sz="900" b="1" i="0" u="none" strike="noStrike" baseline="0">
              <a:solidFill>
                <a:srgbClr val="FF0000"/>
              </a:solidFill>
              <a:latin typeface="Arial"/>
              <a:cs typeface="Arial"/>
            </a:rPr>
            <a:t>NOTE:</a:t>
          </a:r>
          <a:r>
            <a:rPr lang="en-GB" sz="900" b="0" i="0" u="none" strike="noStrike" baseline="0">
              <a:solidFill>
                <a:srgbClr val="000000"/>
              </a:solidFill>
              <a:latin typeface="Arial"/>
              <a:cs typeface="Arial"/>
            </a:rPr>
            <a:t> </a:t>
          </a:r>
          <a:r>
            <a:rPr lang="en-GB" sz="900" b="0" i="0" u="none" strike="noStrike" baseline="0">
              <a:solidFill>
                <a:srgbClr val="0000FF"/>
              </a:solidFill>
              <a:latin typeface="Arial"/>
              <a:cs typeface="Arial"/>
            </a:rPr>
            <a:t>Calculation is based on the known location of the center of gravity. All calculations must be verified by a qualified person. Refer to ASME B30.9 for recommendations on sling loading of multiple leg slings.</a:t>
          </a:r>
        </a:p>
      </xdr:txBody>
    </xdr:sp>
    <xdr:clientData/>
  </xdr:twoCellAnchor>
  <xdr:twoCellAnchor editAs="oneCell">
    <xdr:from>
      <xdr:col>6</xdr:col>
      <xdr:colOff>657225</xdr:colOff>
      <xdr:row>24</xdr:row>
      <xdr:rowOff>38100</xdr:rowOff>
    </xdr:from>
    <xdr:to>
      <xdr:col>10</xdr:col>
      <xdr:colOff>47625</xdr:colOff>
      <xdr:row>30</xdr:row>
      <xdr:rowOff>66675</xdr:rowOff>
    </xdr:to>
    <xdr:sp macro="" textlink="">
      <xdr:nvSpPr>
        <xdr:cNvPr id="55337" name="Text 4"/>
        <xdr:cNvSpPr>
          <a:spLocks noChangeArrowheads="1"/>
        </xdr:cNvSpPr>
      </xdr:nvSpPr>
      <xdr:spPr bwMode="auto">
        <a:xfrm>
          <a:off x="6200775" y="4667250"/>
          <a:ext cx="2809875" cy="10001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en-GB" sz="1000" b="1" i="0" u="none" strike="noStrike" baseline="0">
              <a:solidFill>
                <a:srgbClr val="FF0000"/>
              </a:solidFill>
              <a:latin typeface="Arial"/>
              <a:cs typeface="Arial"/>
            </a:rPr>
            <a:t>All calculations must be verified by a qualified person, final approval and decision for use of this type of rigging is the responsibility of the qualified person.</a:t>
          </a:r>
        </a:p>
      </xdr:txBody>
    </xdr:sp>
    <xdr:clientData/>
  </xdr:twoCellAnchor>
  <mc:AlternateContent xmlns:mc="http://schemas.openxmlformats.org/markup-compatibility/2006">
    <mc:Choice xmlns:a14="http://schemas.microsoft.com/office/drawing/2010/main" Requires="a14">
      <xdr:twoCellAnchor>
        <xdr:from>
          <xdr:col>4</xdr:col>
          <xdr:colOff>76200</xdr:colOff>
          <xdr:row>1</xdr:row>
          <xdr:rowOff>114300</xdr:rowOff>
        </xdr:from>
        <xdr:to>
          <xdr:col>5</xdr:col>
          <xdr:colOff>542925</xdr:colOff>
          <xdr:row>2</xdr:row>
          <xdr:rowOff>28575</xdr:rowOff>
        </xdr:to>
        <xdr:grpSp>
          <xdr:nvGrpSpPr>
            <xdr:cNvPr id="55303" name="Group 7"/>
            <xdr:cNvGrpSpPr>
              <a:grpSpLocks/>
            </xdr:cNvGrpSpPr>
          </xdr:nvGrpSpPr>
          <xdr:grpSpPr bwMode="auto">
            <a:xfrm>
              <a:off x="4400550" y="276225"/>
              <a:ext cx="1076325" cy="238125"/>
              <a:chOff x="7" y="41"/>
              <a:chExt cx="113" cy="28"/>
            </a:xfrm>
          </xdr:grpSpPr>
          <xdr:sp macro="" textlink="">
            <xdr:nvSpPr>
              <xdr:cNvPr id="55304" name="Option Button 8" hidden="1">
                <a:extLst>
                  <a:ext uri="{63B3BB69-23CF-44E3-9099-C40C66FF867C}">
                    <a14:compatExt spid="_x0000_s55304"/>
                  </a:ext>
                </a:extLst>
              </xdr:cNvPr>
              <xdr:cNvSpPr/>
            </xdr:nvSpPr>
            <xdr:spPr>
              <a:xfrm>
                <a:off x="11" y="46"/>
                <a:ext cx="46"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a:t>
                </a:r>
              </a:p>
            </xdr:txBody>
          </xdr:sp>
          <xdr:sp macro="" textlink="">
            <xdr:nvSpPr>
              <xdr:cNvPr id="55305" name="Option Button 9" hidden="1">
                <a:extLst>
                  <a:ext uri="{63B3BB69-23CF-44E3-9099-C40C66FF867C}">
                    <a14:compatExt spid="_x0000_s55305"/>
                  </a:ext>
                </a:extLst>
              </xdr:cNvPr>
              <xdr:cNvSpPr/>
            </xdr:nvSpPr>
            <xdr:spPr>
              <a:xfrm>
                <a:off x="55" y="46"/>
                <a:ext cx="57"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Metric</a:t>
                </a:r>
              </a:p>
            </xdr:txBody>
          </xdr:sp>
          <xdr:sp macro="" textlink="">
            <xdr:nvSpPr>
              <xdr:cNvPr id="55306" name="Group Box 10" hidden="1">
                <a:extLst>
                  <a:ext uri="{63B3BB69-23CF-44E3-9099-C40C66FF867C}">
                    <a14:compatExt spid="_x0000_s55306"/>
                  </a:ext>
                </a:extLst>
              </xdr:cNvPr>
              <xdr:cNvSpPr/>
            </xdr:nvSpPr>
            <xdr:spPr>
              <a:xfrm>
                <a:off x="7" y="41"/>
                <a:ext cx="113" cy="28"/>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Measurement Units</a:t>
                </a:r>
              </a:p>
            </xdr:txBody>
          </xdr:sp>
        </xdr:grpSp>
        <xdr:clientData fLocksWithSheet="0"/>
      </xdr:twoCellAnchor>
    </mc:Choice>
    <mc:Fallback/>
  </mc:AlternateContent>
</xdr:wsDr>
</file>

<file path=xl/drawings/drawing33.xml><?xml version="1.0" encoding="utf-8"?>
<xdr:wsDr xmlns:xdr="http://schemas.openxmlformats.org/drawingml/2006/spreadsheetDrawing" xmlns:a="http://schemas.openxmlformats.org/drawingml/2006/main">
  <xdr:twoCellAnchor editAs="oneCell">
    <xdr:from>
      <xdr:col>0</xdr:col>
      <xdr:colOff>180975</xdr:colOff>
      <xdr:row>14</xdr:row>
      <xdr:rowOff>104775</xdr:rowOff>
    </xdr:from>
    <xdr:to>
      <xdr:col>7</xdr:col>
      <xdr:colOff>457200</xdr:colOff>
      <xdr:row>20</xdr:row>
      <xdr:rowOff>95250</xdr:rowOff>
    </xdr:to>
    <xdr:sp macro="" textlink="">
      <xdr:nvSpPr>
        <xdr:cNvPr id="21506" name="Text 4"/>
        <xdr:cNvSpPr>
          <a:spLocks noChangeArrowheads="1"/>
        </xdr:cNvSpPr>
      </xdr:nvSpPr>
      <xdr:spPr bwMode="auto">
        <a:xfrm>
          <a:off x="180975" y="2914650"/>
          <a:ext cx="6134100" cy="9620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The casual use of tightlines is </a:t>
          </a:r>
          <a:r>
            <a:rPr lang="en-GB" sz="1000" b="1" i="0" u="none" strike="noStrike" baseline="0">
              <a:solidFill>
                <a:srgbClr val="0000FF"/>
              </a:solidFill>
              <a:latin typeface="Arial"/>
              <a:cs typeface="Arial"/>
            </a:rPr>
            <a:t>NOT RECOMMENDED!</a:t>
          </a:r>
          <a:r>
            <a:rPr lang="en-GB" sz="1000" b="0" i="0" u="none" strike="noStrike" baseline="0">
              <a:solidFill>
                <a:srgbClr val="000000"/>
              </a:solidFill>
              <a:latin typeface="Arial"/>
              <a:cs typeface="Arial"/>
            </a:rPr>
            <a:t>  </a:t>
          </a:r>
          <a:r>
            <a:rPr lang="en-GB" sz="1000" b="1" i="1" u="none" strike="noStrike" baseline="0">
              <a:solidFill>
                <a:srgbClr val="000000"/>
              </a:solidFill>
              <a:latin typeface="Arial"/>
              <a:cs typeface="Arial"/>
            </a:rPr>
            <a:t>This program is meant to demonstrate the extreme forces that can be applied when using tightlines.</a:t>
          </a:r>
          <a:r>
            <a:rPr lang="en-GB" sz="1000" b="0" i="0" u="none" strike="noStrike" baseline="0">
              <a:solidFill>
                <a:srgbClr val="000000"/>
              </a:solidFill>
              <a:latin typeface="Arial"/>
              <a:cs typeface="Arial"/>
            </a:rPr>
            <a:t> </a:t>
          </a:r>
        </a:p>
        <a:p>
          <a:pPr algn="ctr" rtl="0">
            <a:defRPr sz="1000"/>
          </a:pPr>
          <a:r>
            <a:rPr lang="en-GB" sz="1100" b="1" i="0" u="none" strike="noStrike" baseline="0">
              <a:solidFill>
                <a:srgbClr val="FF0000"/>
              </a:solidFill>
              <a:latin typeface="Arial"/>
              <a:cs typeface="Arial"/>
            </a:rPr>
            <a:t>All calculations must be verified by a qualified person, final approval and decision for use of this type of rigging is the responsibility of the qualified person.</a:t>
          </a:r>
        </a:p>
      </xdr:txBody>
    </xdr:sp>
    <xdr:clientData/>
  </xdr:twoCellAnchor>
  <xdr:twoCellAnchor editAs="oneCell">
    <xdr:from>
      <xdr:col>6</xdr:col>
      <xdr:colOff>142875</xdr:colOff>
      <xdr:row>0</xdr:row>
      <xdr:rowOff>76200</xdr:rowOff>
    </xdr:from>
    <xdr:to>
      <xdr:col>11</xdr:col>
      <xdr:colOff>438150</xdr:colOff>
      <xdr:row>21</xdr:row>
      <xdr:rowOff>0</xdr:rowOff>
    </xdr:to>
    <xdr:pic>
      <xdr:nvPicPr>
        <xdr:cNvPr id="2159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391150" y="76200"/>
          <a:ext cx="3343275" cy="3895725"/>
        </a:xfrm>
        <a:prstGeom prst="rect">
          <a:avLst/>
        </a:prstGeom>
        <a:noFill/>
        <a:ln w="9525">
          <a:noFill/>
          <a:miter lim="800000"/>
          <a:headEnd/>
          <a:tailEnd/>
        </a:ln>
      </xdr:spPr>
    </xdr:pic>
    <xdr:clientData/>
  </xdr:twoCellAnchor>
  <xdr:twoCellAnchor>
    <xdr:from>
      <xdr:col>4</xdr:col>
      <xdr:colOff>47625</xdr:colOff>
      <xdr:row>0</xdr:row>
      <xdr:rowOff>28575</xdr:rowOff>
    </xdr:from>
    <xdr:to>
      <xdr:col>6</xdr:col>
      <xdr:colOff>57150</xdr:colOff>
      <xdr:row>3</xdr:row>
      <xdr:rowOff>0</xdr:rowOff>
    </xdr:to>
    <xdr:grpSp>
      <xdr:nvGrpSpPr>
        <xdr:cNvPr id="21593" name="Group 4"/>
        <xdr:cNvGrpSpPr>
          <a:grpSpLocks/>
        </xdr:cNvGrpSpPr>
      </xdr:nvGrpSpPr>
      <xdr:grpSpPr bwMode="auto">
        <a:xfrm>
          <a:off x="3971925" y="28575"/>
          <a:ext cx="1333500" cy="628650"/>
          <a:chOff x="300" y="176"/>
          <a:chExt cx="149" cy="58"/>
        </a:xfrm>
      </xdr:grpSpPr>
      <xdr:grpSp>
        <xdr:nvGrpSpPr>
          <xdr:cNvPr id="21602" name="Group 5"/>
          <xdr:cNvGrpSpPr>
            <a:grpSpLocks/>
          </xdr:cNvGrpSpPr>
        </xdr:nvGrpSpPr>
        <xdr:grpSpPr bwMode="auto">
          <a:xfrm>
            <a:off x="300" y="176"/>
            <a:ext cx="149" cy="58"/>
            <a:chOff x="300" y="176"/>
            <a:chExt cx="149" cy="58"/>
          </a:xfrm>
        </xdr:grpSpPr>
        <xdr:sp macro="" textlink="">
          <xdr:nvSpPr>
            <xdr:cNvPr id="21603" name="Rectangle 6"/>
            <xdr:cNvSpPr>
              <a:spLocks noChangeArrowheads="1"/>
            </xdr:cNvSpPr>
          </xdr:nvSpPr>
          <xdr:spPr bwMode="auto">
            <a:xfrm>
              <a:off x="300" y="176"/>
              <a:ext cx="149" cy="58"/>
            </a:xfrm>
            <a:prstGeom prst="rect">
              <a:avLst/>
            </a:prstGeom>
            <a:solidFill>
              <a:srgbClr val="FFFFFF"/>
            </a:solidFill>
            <a:ln w="9525">
              <a:noFill/>
              <a:miter lim="800000"/>
              <a:headEnd/>
              <a:tailEnd/>
            </a:ln>
          </xdr:spPr>
        </xdr:sp>
        <xdr:sp macro="" textlink="">
          <xdr:nvSpPr>
            <xdr:cNvPr id="21604" name="Rectangle 7"/>
            <xdr:cNvSpPr>
              <a:spLocks noChangeArrowheads="1"/>
            </xdr:cNvSpPr>
          </xdr:nvSpPr>
          <xdr:spPr bwMode="auto">
            <a:xfrm>
              <a:off x="300" y="194"/>
              <a:ext cx="146" cy="32"/>
            </a:xfrm>
            <a:prstGeom prst="rect">
              <a:avLst/>
            </a:prstGeom>
            <a:solidFill>
              <a:srgbClr val="FFFF99"/>
            </a:solidFill>
            <a:ln w="9525">
              <a:solidFill>
                <a:srgbClr val="000000"/>
              </a:solidFill>
              <a:miter lim="800000"/>
              <a:headEnd/>
              <a:tailEnd/>
            </a:ln>
          </xdr:spPr>
        </xdr:sp>
      </xdr:grpSp>
    </xdr:grpSp>
    <xdr:clientData/>
  </xdr:twoCellAnchor>
  <xdr:twoCellAnchor editAs="absolute">
    <xdr:from>
      <xdr:col>0</xdr:col>
      <xdr:colOff>47625</xdr:colOff>
      <xdr:row>0</xdr:row>
      <xdr:rowOff>66675</xdr:rowOff>
    </xdr:from>
    <xdr:to>
      <xdr:col>0</xdr:col>
      <xdr:colOff>942975</xdr:colOff>
      <xdr:row>1</xdr:row>
      <xdr:rowOff>133350</xdr:rowOff>
    </xdr:to>
    <xdr:pic>
      <xdr:nvPicPr>
        <xdr:cNvPr id="21594" name="Picture 23">
          <a:hlinkClick xmlns:r="http://schemas.openxmlformats.org/officeDocument/2006/relationships" r:id="rId2" tooltip="Return to Main Menu"/>
        </xdr:cNvPr>
        <xdr:cNvPicPr>
          <a:picLocks noChangeAspect="1" noChangeArrowheads="1"/>
        </xdr:cNvPicPr>
      </xdr:nvPicPr>
      <xdr:blipFill>
        <a:blip xmlns:r="http://schemas.openxmlformats.org/officeDocument/2006/relationships" r:embed="rId3" cstate="print"/>
        <a:srcRect/>
        <a:stretch>
          <a:fillRect/>
        </a:stretch>
      </xdr:blipFill>
      <xdr:spPr bwMode="auto">
        <a:xfrm>
          <a:off x="47625" y="6667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1</xdr:row>
      <xdr:rowOff>142875</xdr:rowOff>
    </xdr:from>
    <xdr:to>
      <xdr:col>0</xdr:col>
      <xdr:colOff>942975</xdr:colOff>
      <xdr:row>2</xdr:row>
      <xdr:rowOff>76200</xdr:rowOff>
    </xdr:to>
    <xdr:pic>
      <xdr:nvPicPr>
        <xdr:cNvPr id="21595" name="Picture 24">
          <a:hlinkClick xmlns:r="http://schemas.openxmlformats.org/officeDocument/2006/relationships" r:id="rId4" tooltip="Go To Master Index"/>
        </xdr:cNvPr>
        <xdr:cNvPicPr>
          <a:picLocks noChangeAspect="1" noChangeArrowheads="1"/>
        </xdr:cNvPicPr>
      </xdr:nvPicPr>
      <xdr:blipFill>
        <a:blip xmlns:r="http://schemas.openxmlformats.org/officeDocument/2006/relationships" r:embed="rId5" cstate="print"/>
        <a:srcRect/>
        <a:stretch>
          <a:fillRect/>
        </a:stretch>
      </xdr:blipFill>
      <xdr:spPr bwMode="auto">
        <a:xfrm>
          <a:off x="47625" y="304800"/>
          <a:ext cx="895350" cy="228600"/>
        </a:xfrm>
        <a:prstGeom prst="rect">
          <a:avLst/>
        </a:prstGeom>
        <a:noFill/>
        <a:ln w="9525">
          <a:noFill/>
          <a:miter lim="800000"/>
          <a:headEnd/>
          <a:tailEnd/>
        </a:ln>
      </xdr:spPr>
    </xdr:pic>
    <xdr:clientData fPrintsWithSheet="0"/>
  </xdr:twoCellAnchor>
  <xdr:twoCellAnchor editAs="absolute">
    <xdr:from>
      <xdr:col>0</xdr:col>
      <xdr:colOff>47625</xdr:colOff>
      <xdr:row>2</xdr:row>
      <xdr:rowOff>104775</xdr:rowOff>
    </xdr:from>
    <xdr:to>
      <xdr:col>0</xdr:col>
      <xdr:colOff>942975</xdr:colOff>
      <xdr:row>3</xdr:row>
      <xdr:rowOff>133350</xdr:rowOff>
    </xdr:to>
    <xdr:pic>
      <xdr:nvPicPr>
        <xdr:cNvPr id="21596" name="Picture 25">
          <a:hlinkClick xmlns:r="http://schemas.openxmlformats.org/officeDocument/2006/relationships" r:id="rId6" tooltip="Go To Weights Menu"/>
        </xdr:cNvPr>
        <xdr:cNvPicPr>
          <a:picLocks noChangeAspect="1" noChangeArrowheads="1"/>
        </xdr:cNvPicPr>
      </xdr:nvPicPr>
      <xdr:blipFill>
        <a:blip xmlns:r="http://schemas.openxmlformats.org/officeDocument/2006/relationships" r:embed="rId7" cstate="print"/>
        <a:srcRect/>
        <a:stretch>
          <a:fillRect/>
        </a:stretch>
      </xdr:blipFill>
      <xdr:spPr bwMode="auto">
        <a:xfrm>
          <a:off x="47625" y="56197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3</xdr:row>
      <xdr:rowOff>133350</xdr:rowOff>
    </xdr:from>
    <xdr:to>
      <xdr:col>0</xdr:col>
      <xdr:colOff>942975</xdr:colOff>
      <xdr:row>4</xdr:row>
      <xdr:rowOff>161925</xdr:rowOff>
    </xdr:to>
    <xdr:pic>
      <xdr:nvPicPr>
        <xdr:cNvPr id="21597" name="Picture 26">
          <a:hlinkClick xmlns:r="http://schemas.openxmlformats.org/officeDocument/2006/relationships" r:id="rId8" tooltip="Go To Tension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79057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4</xdr:row>
      <xdr:rowOff>161925</xdr:rowOff>
    </xdr:from>
    <xdr:to>
      <xdr:col>0</xdr:col>
      <xdr:colOff>942975</xdr:colOff>
      <xdr:row>5</xdr:row>
      <xdr:rowOff>190500</xdr:rowOff>
    </xdr:to>
    <xdr:pic>
      <xdr:nvPicPr>
        <xdr:cNvPr id="21598" name="Picture 27">
          <a:hlinkClick xmlns:r="http://schemas.openxmlformats.org/officeDocument/2006/relationships" r:id="rId10" tooltip="Go To Equipment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47625" y="1019175"/>
          <a:ext cx="895350" cy="228600"/>
        </a:xfrm>
        <a:prstGeom prst="rect">
          <a:avLst/>
        </a:prstGeom>
        <a:noFill/>
        <a:ln w="9525">
          <a:noFill/>
          <a:miter lim="800000"/>
          <a:headEnd/>
          <a:tailEnd/>
        </a:ln>
      </xdr:spPr>
    </xdr:pic>
    <xdr:clientData fPrintsWithSheet="0"/>
  </xdr:twoCellAnchor>
  <xdr:twoCellAnchor editAs="absolute">
    <xdr:from>
      <xdr:col>0</xdr:col>
      <xdr:colOff>114300</xdr:colOff>
      <xdr:row>6</xdr:row>
      <xdr:rowOff>19050</xdr:rowOff>
    </xdr:from>
    <xdr:to>
      <xdr:col>0</xdr:col>
      <xdr:colOff>342900</xdr:colOff>
      <xdr:row>7</xdr:row>
      <xdr:rowOff>47625</xdr:rowOff>
    </xdr:to>
    <xdr:pic>
      <xdr:nvPicPr>
        <xdr:cNvPr id="21599" name="Picture 28" descr="Code Information">
          <a:hlinkClick xmlns:r="http://schemas.openxmlformats.org/officeDocument/2006/relationships" r:id="rId12" tooltip="Code Information"/>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14300" y="1276350"/>
          <a:ext cx="228600" cy="228600"/>
        </a:xfrm>
        <a:prstGeom prst="rect">
          <a:avLst/>
        </a:prstGeom>
        <a:noFill/>
        <a:ln w="9525">
          <a:noFill/>
          <a:miter lim="800000"/>
          <a:headEnd/>
          <a:tailEnd/>
        </a:ln>
      </xdr:spPr>
    </xdr:pic>
    <xdr:clientData fPrintsWithSheet="0"/>
  </xdr:twoCellAnchor>
  <xdr:twoCellAnchor editAs="absolute">
    <xdr:from>
      <xdr:col>0</xdr:col>
      <xdr:colOff>371475</xdr:colOff>
      <xdr:row>6</xdr:row>
      <xdr:rowOff>19050</xdr:rowOff>
    </xdr:from>
    <xdr:to>
      <xdr:col>0</xdr:col>
      <xdr:colOff>600075</xdr:colOff>
      <xdr:row>7</xdr:row>
      <xdr:rowOff>47625</xdr:rowOff>
    </xdr:to>
    <xdr:pic>
      <xdr:nvPicPr>
        <xdr:cNvPr id="21600" name="Picture 29" descr="help">
          <a:hlinkClick xmlns:r="http://schemas.openxmlformats.org/officeDocument/2006/relationships" r:id="rId14" tooltip="Help"/>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71475" y="1276350"/>
          <a:ext cx="228600" cy="228600"/>
        </a:xfrm>
        <a:prstGeom prst="rect">
          <a:avLst/>
        </a:prstGeom>
        <a:noFill/>
        <a:ln w="9525">
          <a:noFill/>
          <a:miter lim="800000"/>
          <a:headEnd/>
          <a:tailEnd/>
        </a:ln>
      </xdr:spPr>
    </xdr:pic>
    <xdr:clientData fPrintsWithSheet="0"/>
  </xdr:twoCellAnchor>
  <xdr:twoCellAnchor editAs="absolute">
    <xdr:from>
      <xdr:col>0</xdr:col>
      <xdr:colOff>638175</xdr:colOff>
      <xdr:row>6</xdr:row>
      <xdr:rowOff>19050</xdr:rowOff>
    </xdr:from>
    <xdr:to>
      <xdr:col>0</xdr:col>
      <xdr:colOff>866775</xdr:colOff>
      <xdr:row>7</xdr:row>
      <xdr:rowOff>47625</xdr:rowOff>
    </xdr:to>
    <xdr:pic>
      <xdr:nvPicPr>
        <xdr:cNvPr id="21601" name="Picture 30" descr="star">
          <a:hlinkClick xmlns:r="http://schemas.openxmlformats.org/officeDocument/2006/relationships" r:id="rId16" tooltip="Conversions"/>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38175" y="1276350"/>
          <a:ext cx="228600" cy="22860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xdr:from>
          <xdr:col>4</xdr:col>
          <xdr:colOff>123825</xdr:colOff>
          <xdr:row>1</xdr:row>
          <xdr:rowOff>114300</xdr:rowOff>
        </xdr:from>
        <xdr:to>
          <xdr:col>5</xdr:col>
          <xdr:colOff>685800</xdr:colOff>
          <xdr:row>2</xdr:row>
          <xdr:rowOff>47625</xdr:rowOff>
        </xdr:to>
        <xdr:grpSp>
          <xdr:nvGrpSpPr>
            <xdr:cNvPr id="21512" name="Group 8"/>
            <xdr:cNvGrpSpPr>
              <a:grpSpLocks/>
            </xdr:cNvGrpSpPr>
          </xdr:nvGrpSpPr>
          <xdr:grpSpPr bwMode="auto">
            <a:xfrm>
              <a:off x="4048125" y="276225"/>
              <a:ext cx="1171575" cy="228600"/>
              <a:chOff x="7" y="41"/>
              <a:chExt cx="113" cy="28"/>
            </a:xfrm>
          </xdr:grpSpPr>
          <xdr:sp macro="" textlink="">
            <xdr:nvSpPr>
              <xdr:cNvPr id="21513" name="Option Button 9" hidden="1">
                <a:extLst>
                  <a:ext uri="{63B3BB69-23CF-44E3-9099-C40C66FF867C}">
                    <a14:compatExt spid="_x0000_s21513"/>
                  </a:ext>
                </a:extLst>
              </xdr:cNvPr>
              <xdr:cNvSpPr/>
            </xdr:nvSpPr>
            <xdr:spPr>
              <a:xfrm>
                <a:off x="11" y="46"/>
                <a:ext cx="46"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a:t>
                </a:r>
              </a:p>
            </xdr:txBody>
          </xdr:sp>
          <xdr:sp macro="" textlink="">
            <xdr:nvSpPr>
              <xdr:cNvPr id="21514" name="Option Button 10" hidden="1">
                <a:extLst>
                  <a:ext uri="{63B3BB69-23CF-44E3-9099-C40C66FF867C}">
                    <a14:compatExt spid="_x0000_s21514"/>
                  </a:ext>
                </a:extLst>
              </xdr:cNvPr>
              <xdr:cNvSpPr/>
            </xdr:nvSpPr>
            <xdr:spPr>
              <a:xfrm>
                <a:off x="55" y="46"/>
                <a:ext cx="57"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Metric</a:t>
                </a:r>
              </a:p>
            </xdr:txBody>
          </xdr:sp>
          <xdr:sp macro="" textlink="">
            <xdr:nvSpPr>
              <xdr:cNvPr id="21515" name="Group Box 11" hidden="1">
                <a:extLst>
                  <a:ext uri="{63B3BB69-23CF-44E3-9099-C40C66FF867C}">
                    <a14:compatExt spid="_x0000_s21515"/>
                  </a:ext>
                </a:extLst>
              </xdr:cNvPr>
              <xdr:cNvSpPr/>
            </xdr:nvSpPr>
            <xdr:spPr>
              <a:xfrm>
                <a:off x="7" y="41"/>
                <a:ext cx="113" cy="28"/>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Measurement Units</a:t>
                </a:r>
              </a:p>
            </xdr:txBody>
          </xdr:sp>
        </xdr:grpSp>
        <xdr:clientData fLocksWithSheet="0"/>
      </xdr:twoCellAnchor>
    </mc:Choice>
    <mc:Fallback/>
  </mc:AlternateContent>
</xdr:wsDr>
</file>

<file path=xl/drawings/drawing34.xml><?xml version="1.0" encoding="utf-8"?>
<xdr:wsDr xmlns:xdr="http://schemas.openxmlformats.org/drawingml/2006/spreadsheetDrawing" xmlns:a="http://schemas.openxmlformats.org/drawingml/2006/main">
  <xdr:twoCellAnchor editAs="oneCell">
    <xdr:from>
      <xdr:col>6</xdr:col>
      <xdr:colOff>400050</xdr:colOff>
      <xdr:row>1</xdr:row>
      <xdr:rowOff>85725</xdr:rowOff>
    </xdr:from>
    <xdr:to>
      <xdr:col>12</xdr:col>
      <xdr:colOff>152400</xdr:colOff>
      <xdr:row>23</xdr:row>
      <xdr:rowOff>76200</xdr:rowOff>
    </xdr:to>
    <xdr:pic>
      <xdr:nvPicPr>
        <xdr:cNvPr id="2059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295900" y="247650"/>
          <a:ext cx="3476625" cy="4086225"/>
        </a:xfrm>
        <a:prstGeom prst="rect">
          <a:avLst/>
        </a:prstGeom>
        <a:noFill/>
        <a:ln w="9525">
          <a:noFill/>
          <a:miter lim="800000"/>
          <a:headEnd/>
          <a:tailEnd/>
        </a:ln>
      </xdr:spPr>
    </xdr:pic>
    <xdr:clientData/>
  </xdr:twoCellAnchor>
  <xdr:twoCellAnchor editAs="absolute">
    <xdr:from>
      <xdr:col>4</xdr:col>
      <xdr:colOff>38100</xdr:colOff>
      <xdr:row>0</xdr:row>
      <xdr:rowOff>28575</xdr:rowOff>
    </xdr:from>
    <xdr:to>
      <xdr:col>6</xdr:col>
      <xdr:colOff>47625</xdr:colOff>
      <xdr:row>3</xdr:row>
      <xdr:rowOff>0</xdr:rowOff>
    </xdr:to>
    <xdr:grpSp>
      <xdr:nvGrpSpPr>
        <xdr:cNvPr id="20598" name="Group 41"/>
        <xdr:cNvGrpSpPr>
          <a:grpSpLocks/>
        </xdr:cNvGrpSpPr>
      </xdr:nvGrpSpPr>
      <xdr:grpSpPr bwMode="auto">
        <a:xfrm>
          <a:off x="3524250" y="28575"/>
          <a:ext cx="1419225" cy="552450"/>
          <a:chOff x="300" y="176"/>
          <a:chExt cx="149" cy="58"/>
        </a:xfrm>
      </xdr:grpSpPr>
      <xdr:grpSp>
        <xdr:nvGrpSpPr>
          <xdr:cNvPr id="20609" name="Group 40"/>
          <xdr:cNvGrpSpPr>
            <a:grpSpLocks/>
          </xdr:cNvGrpSpPr>
        </xdr:nvGrpSpPr>
        <xdr:grpSpPr bwMode="auto">
          <a:xfrm>
            <a:off x="300" y="176"/>
            <a:ext cx="149" cy="58"/>
            <a:chOff x="300" y="176"/>
            <a:chExt cx="149" cy="58"/>
          </a:xfrm>
        </xdr:grpSpPr>
        <xdr:sp macro="" textlink="">
          <xdr:nvSpPr>
            <xdr:cNvPr id="20610" name="Rectangle 10"/>
            <xdr:cNvSpPr>
              <a:spLocks noChangeArrowheads="1"/>
            </xdr:cNvSpPr>
          </xdr:nvSpPr>
          <xdr:spPr bwMode="auto">
            <a:xfrm>
              <a:off x="300" y="176"/>
              <a:ext cx="149" cy="58"/>
            </a:xfrm>
            <a:prstGeom prst="rect">
              <a:avLst/>
            </a:prstGeom>
            <a:solidFill>
              <a:srgbClr val="FFFFFF"/>
            </a:solidFill>
            <a:ln w="9525">
              <a:noFill/>
              <a:miter lim="800000"/>
              <a:headEnd/>
              <a:tailEnd/>
            </a:ln>
          </xdr:spPr>
        </xdr:sp>
        <xdr:sp macro="" textlink="">
          <xdr:nvSpPr>
            <xdr:cNvPr id="20611" name="Rectangle 11"/>
            <xdr:cNvSpPr>
              <a:spLocks noChangeArrowheads="1"/>
            </xdr:cNvSpPr>
          </xdr:nvSpPr>
          <xdr:spPr bwMode="auto">
            <a:xfrm>
              <a:off x="300" y="194"/>
              <a:ext cx="146" cy="32"/>
            </a:xfrm>
            <a:prstGeom prst="rect">
              <a:avLst/>
            </a:prstGeom>
            <a:solidFill>
              <a:srgbClr val="FFFF99"/>
            </a:solidFill>
            <a:ln w="9525">
              <a:solidFill>
                <a:srgbClr val="000000"/>
              </a:solidFill>
              <a:miter lim="800000"/>
              <a:headEnd/>
              <a:tailEnd/>
            </a:ln>
          </xdr:spPr>
        </xdr:sp>
      </xdr:grpSp>
    </xdr:grpSp>
    <xdr:clientData fPrintsWithSheet="0"/>
  </xdr:twoCellAnchor>
  <xdr:twoCellAnchor editAs="absolute">
    <xdr:from>
      <xdr:col>1</xdr:col>
      <xdr:colOff>66675</xdr:colOff>
      <xdr:row>18</xdr:row>
      <xdr:rowOff>95250</xdr:rowOff>
    </xdr:from>
    <xdr:to>
      <xdr:col>6</xdr:col>
      <xdr:colOff>209550</xdr:colOff>
      <xdr:row>23</xdr:row>
      <xdr:rowOff>171450</xdr:rowOff>
    </xdr:to>
    <xdr:sp macro="" textlink="">
      <xdr:nvSpPr>
        <xdr:cNvPr id="20522" name="Text 11"/>
        <xdr:cNvSpPr>
          <a:spLocks noChangeArrowheads="1"/>
        </xdr:cNvSpPr>
      </xdr:nvSpPr>
      <xdr:spPr bwMode="auto">
        <a:xfrm>
          <a:off x="971550" y="3419475"/>
          <a:ext cx="4133850" cy="100965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en-GB" sz="1000" b="1" i="0" u="none" strike="noStrike" baseline="0">
              <a:solidFill>
                <a:srgbClr val="FF0000"/>
              </a:solidFill>
              <a:latin typeface="Arial"/>
              <a:cs typeface="Arial"/>
            </a:rPr>
            <a:t>NOTE:</a:t>
          </a:r>
          <a:r>
            <a:rPr lang="en-GB" sz="1000" b="0" i="0" u="none" strike="noStrike" baseline="0">
              <a:solidFill>
                <a:srgbClr val="000000"/>
              </a:solidFill>
              <a:latin typeface="Arial"/>
              <a:cs typeface="Arial"/>
            </a:rPr>
            <a:t> </a:t>
          </a:r>
          <a:r>
            <a:rPr lang="en-GB" sz="1000" b="0" i="0" u="none" strike="noStrike" baseline="0">
              <a:solidFill>
                <a:srgbClr val="0000FF"/>
              </a:solidFill>
              <a:latin typeface="Arial"/>
              <a:cs typeface="Arial"/>
            </a:rPr>
            <a:t>This calculation is based on BOTH chainfalls located at the same elevation.  The "H" dimension is taken at the highest anticipated elevation during the moving operation.  This calculation will yield the highest amount of additional tension incurred during the transfer so that the appropriate rigging equipment can be selected.</a:t>
          </a:r>
        </a:p>
      </xdr:txBody>
    </xdr:sp>
    <xdr:clientData/>
  </xdr:twoCellAnchor>
  <xdr:twoCellAnchor editAs="absolute">
    <xdr:from>
      <xdr:col>0</xdr:col>
      <xdr:colOff>66675</xdr:colOff>
      <xdr:row>0</xdr:row>
      <xdr:rowOff>66675</xdr:rowOff>
    </xdr:from>
    <xdr:to>
      <xdr:col>1</xdr:col>
      <xdr:colOff>57150</xdr:colOff>
      <xdr:row>1</xdr:row>
      <xdr:rowOff>133350</xdr:rowOff>
    </xdr:to>
    <xdr:pic>
      <xdr:nvPicPr>
        <xdr:cNvPr id="20600" name="Picture 48">
          <a:hlinkClick xmlns:r="http://schemas.openxmlformats.org/officeDocument/2006/relationships" r:id="rId2" tooltip="Return to Main Menu"/>
        </xdr:cNvPr>
        <xdr:cNvPicPr>
          <a:picLocks noChangeAspect="1" noChangeArrowheads="1"/>
        </xdr:cNvPicPr>
      </xdr:nvPicPr>
      <xdr:blipFill>
        <a:blip xmlns:r="http://schemas.openxmlformats.org/officeDocument/2006/relationships" r:embed="rId3" cstate="print"/>
        <a:srcRect/>
        <a:stretch>
          <a:fillRect/>
        </a:stretch>
      </xdr:blipFill>
      <xdr:spPr bwMode="auto">
        <a:xfrm>
          <a:off x="66675" y="66675"/>
          <a:ext cx="895350" cy="228600"/>
        </a:xfrm>
        <a:prstGeom prst="rect">
          <a:avLst/>
        </a:prstGeom>
        <a:noFill/>
        <a:ln w="9525">
          <a:noFill/>
          <a:miter lim="800000"/>
          <a:headEnd/>
          <a:tailEnd/>
        </a:ln>
      </xdr:spPr>
    </xdr:pic>
    <xdr:clientData fPrintsWithSheet="0"/>
  </xdr:twoCellAnchor>
  <xdr:twoCellAnchor editAs="absolute">
    <xdr:from>
      <xdr:col>0</xdr:col>
      <xdr:colOff>66675</xdr:colOff>
      <xdr:row>1</xdr:row>
      <xdr:rowOff>142875</xdr:rowOff>
    </xdr:from>
    <xdr:to>
      <xdr:col>1</xdr:col>
      <xdr:colOff>57150</xdr:colOff>
      <xdr:row>2</xdr:row>
      <xdr:rowOff>209550</xdr:rowOff>
    </xdr:to>
    <xdr:pic>
      <xdr:nvPicPr>
        <xdr:cNvPr id="20601" name="Picture 49">
          <a:hlinkClick xmlns:r="http://schemas.openxmlformats.org/officeDocument/2006/relationships" r:id="rId4" tooltip="Go To Master Index"/>
        </xdr:cNvPr>
        <xdr:cNvPicPr>
          <a:picLocks noChangeAspect="1" noChangeArrowheads="1"/>
        </xdr:cNvPicPr>
      </xdr:nvPicPr>
      <xdr:blipFill>
        <a:blip xmlns:r="http://schemas.openxmlformats.org/officeDocument/2006/relationships" r:embed="rId5" cstate="print"/>
        <a:srcRect/>
        <a:stretch>
          <a:fillRect/>
        </a:stretch>
      </xdr:blipFill>
      <xdr:spPr bwMode="auto">
        <a:xfrm>
          <a:off x="66675" y="304800"/>
          <a:ext cx="895350" cy="228600"/>
        </a:xfrm>
        <a:prstGeom prst="rect">
          <a:avLst/>
        </a:prstGeom>
        <a:noFill/>
        <a:ln w="9525">
          <a:noFill/>
          <a:miter lim="800000"/>
          <a:headEnd/>
          <a:tailEnd/>
        </a:ln>
      </xdr:spPr>
    </xdr:pic>
    <xdr:clientData fPrintsWithSheet="0"/>
  </xdr:twoCellAnchor>
  <xdr:twoCellAnchor editAs="absolute">
    <xdr:from>
      <xdr:col>0</xdr:col>
      <xdr:colOff>66675</xdr:colOff>
      <xdr:row>2</xdr:row>
      <xdr:rowOff>238125</xdr:rowOff>
    </xdr:from>
    <xdr:to>
      <xdr:col>1</xdr:col>
      <xdr:colOff>57150</xdr:colOff>
      <xdr:row>4</xdr:row>
      <xdr:rowOff>9525</xdr:rowOff>
    </xdr:to>
    <xdr:pic>
      <xdr:nvPicPr>
        <xdr:cNvPr id="20602" name="Picture 50">
          <a:hlinkClick xmlns:r="http://schemas.openxmlformats.org/officeDocument/2006/relationships" r:id="rId6" tooltip="Go To Weights Menu"/>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5" y="561975"/>
          <a:ext cx="895350" cy="228600"/>
        </a:xfrm>
        <a:prstGeom prst="rect">
          <a:avLst/>
        </a:prstGeom>
        <a:noFill/>
        <a:ln w="9525">
          <a:noFill/>
          <a:miter lim="800000"/>
          <a:headEnd/>
          <a:tailEnd/>
        </a:ln>
      </xdr:spPr>
    </xdr:pic>
    <xdr:clientData fPrintsWithSheet="0"/>
  </xdr:twoCellAnchor>
  <xdr:twoCellAnchor editAs="absolute">
    <xdr:from>
      <xdr:col>0</xdr:col>
      <xdr:colOff>66675</xdr:colOff>
      <xdr:row>4</xdr:row>
      <xdr:rowOff>9525</xdr:rowOff>
    </xdr:from>
    <xdr:to>
      <xdr:col>1</xdr:col>
      <xdr:colOff>57150</xdr:colOff>
      <xdr:row>5</xdr:row>
      <xdr:rowOff>38100</xdr:rowOff>
    </xdr:to>
    <xdr:pic>
      <xdr:nvPicPr>
        <xdr:cNvPr id="20603" name="Picture 51">
          <a:hlinkClick xmlns:r="http://schemas.openxmlformats.org/officeDocument/2006/relationships" r:id="rId8" tooltip="Go To Tension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790575"/>
          <a:ext cx="895350" cy="228600"/>
        </a:xfrm>
        <a:prstGeom prst="rect">
          <a:avLst/>
        </a:prstGeom>
        <a:noFill/>
        <a:ln w="9525">
          <a:noFill/>
          <a:miter lim="800000"/>
          <a:headEnd/>
          <a:tailEnd/>
        </a:ln>
      </xdr:spPr>
    </xdr:pic>
    <xdr:clientData fPrintsWithSheet="0"/>
  </xdr:twoCellAnchor>
  <xdr:twoCellAnchor editAs="absolute">
    <xdr:from>
      <xdr:col>0</xdr:col>
      <xdr:colOff>66675</xdr:colOff>
      <xdr:row>5</xdr:row>
      <xdr:rowOff>38100</xdr:rowOff>
    </xdr:from>
    <xdr:to>
      <xdr:col>1</xdr:col>
      <xdr:colOff>57150</xdr:colOff>
      <xdr:row>6</xdr:row>
      <xdr:rowOff>66675</xdr:rowOff>
    </xdr:to>
    <xdr:pic>
      <xdr:nvPicPr>
        <xdr:cNvPr id="20604" name="Picture 52">
          <a:hlinkClick xmlns:r="http://schemas.openxmlformats.org/officeDocument/2006/relationships" r:id="rId10" tooltip="Go To Equipment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1019175"/>
          <a:ext cx="895350" cy="228600"/>
        </a:xfrm>
        <a:prstGeom prst="rect">
          <a:avLst/>
        </a:prstGeom>
        <a:noFill/>
        <a:ln w="9525">
          <a:noFill/>
          <a:miter lim="800000"/>
          <a:headEnd/>
          <a:tailEnd/>
        </a:ln>
      </xdr:spPr>
    </xdr:pic>
    <xdr:clientData fPrintsWithSheet="0"/>
  </xdr:twoCellAnchor>
  <xdr:twoCellAnchor editAs="absolute">
    <xdr:from>
      <xdr:col>0</xdr:col>
      <xdr:colOff>123825</xdr:colOff>
      <xdr:row>6</xdr:row>
      <xdr:rowOff>95250</xdr:rowOff>
    </xdr:from>
    <xdr:to>
      <xdr:col>0</xdr:col>
      <xdr:colOff>352425</xdr:colOff>
      <xdr:row>7</xdr:row>
      <xdr:rowOff>123825</xdr:rowOff>
    </xdr:to>
    <xdr:pic>
      <xdr:nvPicPr>
        <xdr:cNvPr id="20605" name="Picture 53" descr="Code Information">
          <a:hlinkClick xmlns:r="http://schemas.openxmlformats.org/officeDocument/2006/relationships" r:id="rId12" tooltip="Code Information"/>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23825" y="1276350"/>
          <a:ext cx="228600" cy="228600"/>
        </a:xfrm>
        <a:prstGeom prst="rect">
          <a:avLst/>
        </a:prstGeom>
        <a:noFill/>
        <a:ln w="9525">
          <a:noFill/>
          <a:miter lim="800000"/>
          <a:headEnd/>
          <a:tailEnd/>
        </a:ln>
      </xdr:spPr>
    </xdr:pic>
    <xdr:clientData fPrintsWithSheet="0"/>
  </xdr:twoCellAnchor>
  <xdr:twoCellAnchor editAs="absolute">
    <xdr:from>
      <xdr:col>0</xdr:col>
      <xdr:colOff>381000</xdr:colOff>
      <xdr:row>6</xdr:row>
      <xdr:rowOff>95250</xdr:rowOff>
    </xdr:from>
    <xdr:to>
      <xdr:col>0</xdr:col>
      <xdr:colOff>609600</xdr:colOff>
      <xdr:row>7</xdr:row>
      <xdr:rowOff>123825</xdr:rowOff>
    </xdr:to>
    <xdr:pic>
      <xdr:nvPicPr>
        <xdr:cNvPr id="20606" name="Picture 54" descr="help">
          <a:hlinkClick xmlns:r="http://schemas.openxmlformats.org/officeDocument/2006/relationships" r:id="rId14" tooltip="Help"/>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81000" y="1276350"/>
          <a:ext cx="228600" cy="228600"/>
        </a:xfrm>
        <a:prstGeom prst="rect">
          <a:avLst/>
        </a:prstGeom>
        <a:noFill/>
        <a:ln w="9525">
          <a:noFill/>
          <a:miter lim="800000"/>
          <a:headEnd/>
          <a:tailEnd/>
        </a:ln>
      </xdr:spPr>
    </xdr:pic>
    <xdr:clientData fPrintsWithSheet="0"/>
  </xdr:twoCellAnchor>
  <xdr:twoCellAnchor editAs="absolute">
    <xdr:from>
      <xdr:col>0</xdr:col>
      <xdr:colOff>647700</xdr:colOff>
      <xdr:row>6</xdr:row>
      <xdr:rowOff>95250</xdr:rowOff>
    </xdr:from>
    <xdr:to>
      <xdr:col>0</xdr:col>
      <xdr:colOff>876300</xdr:colOff>
      <xdr:row>7</xdr:row>
      <xdr:rowOff>123825</xdr:rowOff>
    </xdr:to>
    <xdr:pic>
      <xdr:nvPicPr>
        <xdr:cNvPr id="20607" name="Picture 55" descr="star">
          <a:hlinkClick xmlns:r="http://schemas.openxmlformats.org/officeDocument/2006/relationships" r:id="rId16" tooltip="Conversions"/>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47700" y="1276350"/>
          <a:ext cx="228600" cy="228600"/>
        </a:xfrm>
        <a:prstGeom prst="rect">
          <a:avLst/>
        </a:prstGeom>
        <a:noFill/>
        <a:ln w="9525">
          <a:noFill/>
          <a:miter lim="800000"/>
          <a:headEnd/>
          <a:tailEnd/>
        </a:ln>
      </xdr:spPr>
    </xdr:pic>
    <xdr:clientData fPrintsWithSheet="0"/>
  </xdr:twoCellAnchor>
  <xdr:twoCellAnchor editAs="oneCell">
    <xdr:from>
      <xdr:col>8</xdr:col>
      <xdr:colOff>371475</xdr:colOff>
      <xdr:row>21</xdr:row>
      <xdr:rowOff>104775</xdr:rowOff>
    </xdr:from>
    <xdr:to>
      <xdr:col>12</xdr:col>
      <xdr:colOff>228600</xdr:colOff>
      <xdr:row>27</xdr:row>
      <xdr:rowOff>47625</xdr:rowOff>
    </xdr:to>
    <xdr:sp macro="" textlink="">
      <xdr:nvSpPr>
        <xdr:cNvPr id="20536" name="Text 4"/>
        <xdr:cNvSpPr>
          <a:spLocks noChangeArrowheads="1"/>
        </xdr:cNvSpPr>
      </xdr:nvSpPr>
      <xdr:spPr bwMode="auto">
        <a:xfrm>
          <a:off x="6515100" y="4038600"/>
          <a:ext cx="2333625" cy="94297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en-GB" sz="1000" b="1" i="0" u="none" strike="noStrike" baseline="0">
              <a:solidFill>
                <a:srgbClr val="FF0000"/>
              </a:solidFill>
              <a:latin typeface="Arial"/>
              <a:cs typeface="Arial"/>
            </a:rPr>
            <a:t>All calculations must be verified by a qualified person, final approval and decision for use of this type of rigging is the responsibility of the qualified person.</a:t>
          </a:r>
        </a:p>
      </xdr:txBody>
    </xdr:sp>
    <xdr:clientData/>
  </xdr:twoCellAnchor>
  <mc:AlternateContent xmlns:mc="http://schemas.openxmlformats.org/markup-compatibility/2006">
    <mc:Choice xmlns:a14="http://schemas.microsoft.com/office/drawing/2010/main" Requires="a14">
      <xdr:twoCellAnchor>
        <xdr:from>
          <xdr:col>4</xdr:col>
          <xdr:colOff>114300</xdr:colOff>
          <xdr:row>1</xdr:row>
          <xdr:rowOff>85725</xdr:rowOff>
        </xdr:from>
        <xdr:to>
          <xdr:col>5</xdr:col>
          <xdr:colOff>714375</xdr:colOff>
          <xdr:row>2</xdr:row>
          <xdr:rowOff>123825</xdr:rowOff>
        </xdr:to>
        <xdr:grpSp>
          <xdr:nvGrpSpPr>
            <xdr:cNvPr id="20492" name="Group 12"/>
            <xdr:cNvGrpSpPr>
              <a:grpSpLocks/>
            </xdr:cNvGrpSpPr>
          </xdr:nvGrpSpPr>
          <xdr:grpSpPr bwMode="auto">
            <a:xfrm>
              <a:off x="3600450" y="247650"/>
              <a:ext cx="1247775" cy="200025"/>
              <a:chOff x="7" y="41"/>
              <a:chExt cx="113" cy="28"/>
            </a:xfrm>
          </xdr:grpSpPr>
          <xdr:sp macro="" textlink="">
            <xdr:nvSpPr>
              <xdr:cNvPr id="20493" name="Option Button 13" hidden="1">
                <a:extLst>
                  <a:ext uri="{63B3BB69-23CF-44E3-9099-C40C66FF867C}">
                    <a14:compatExt spid="_x0000_s20493"/>
                  </a:ext>
                </a:extLst>
              </xdr:cNvPr>
              <xdr:cNvSpPr/>
            </xdr:nvSpPr>
            <xdr:spPr>
              <a:xfrm>
                <a:off x="11" y="46"/>
                <a:ext cx="46"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a:t>
                </a:r>
              </a:p>
            </xdr:txBody>
          </xdr:sp>
          <xdr:sp macro="" textlink="">
            <xdr:nvSpPr>
              <xdr:cNvPr id="20494" name="Option Button 14" hidden="1">
                <a:extLst>
                  <a:ext uri="{63B3BB69-23CF-44E3-9099-C40C66FF867C}">
                    <a14:compatExt spid="_x0000_s20494"/>
                  </a:ext>
                </a:extLst>
              </xdr:cNvPr>
              <xdr:cNvSpPr/>
            </xdr:nvSpPr>
            <xdr:spPr>
              <a:xfrm>
                <a:off x="55" y="46"/>
                <a:ext cx="57"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Metric</a:t>
                </a:r>
              </a:p>
            </xdr:txBody>
          </xdr:sp>
          <xdr:sp macro="" textlink="">
            <xdr:nvSpPr>
              <xdr:cNvPr id="20495" name="Group Box 15" hidden="1">
                <a:extLst>
                  <a:ext uri="{63B3BB69-23CF-44E3-9099-C40C66FF867C}">
                    <a14:compatExt spid="_x0000_s20495"/>
                  </a:ext>
                </a:extLst>
              </xdr:cNvPr>
              <xdr:cNvSpPr/>
            </xdr:nvSpPr>
            <xdr:spPr>
              <a:xfrm>
                <a:off x="7" y="41"/>
                <a:ext cx="113" cy="28"/>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Measurement Units</a:t>
                </a:r>
              </a:p>
            </xdr:txBody>
          </xdr:sp>
        </xdr:grpSp>
        <xdr:clientData fLocksWithSheet="0"/>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2</xdr:col>
      <xdr:colOff>19050</xdr:colOff>
      <xdr:row>3</xdr:row>
      <xdr:rowOff>9525</xdr:rowOff>
    </xdr:from>
    <xdr:to>
      <xdr:col>8</xdr:col>
      <xdr:colOff>9525</xdr:colOff>
      <xdr:row>4</xdr:row>
      <xdr:rowOff>28575</xdr:rowOff>
    </xdr:to>
    <xdr:sp macro="" textlink="">
      <xdr:nvSpPr>
        <xdr:cNvPr id="67667" name="Rectangle 33"/>
        <xdr:cNvSpPr>
          <a:spLocks noChangeArrowheads="1"/>
        </xdr:cNvSpPr>
      </xdr:nvSpPr>
      <xdr:spPr bwMode="auto">
        <a:xfrm>
          <a:off x="2076450" y="561975"/>
          <a:ext cx="4448175" cy="285750"/>
        </a:xfrm>
        <a:prstGeom prst="rect">
          <a:avLst/>
        </a:prstGeom>
        <a:solidFill>
          <a:srgbClr val="FFFF00"/>
        </a:solidFill>
        <a:ln w="9525">
          <a:solidFill>
            <a:srgbClr val="000000"/>
          </a:solidFill>
          <a:miter lim="800000"/>
          <a:headEnd/>
          <a:tailEnd/>
        </a:ln>
      </xdr:spPr>
    </xdr:sp>
    <xdr:clientData/>
  </xdr:twoCellAnchor>
  <xdr:twoCellAnchor>
    <xdr:from>
      <xdr:col>0</xdr:col>
      <xdr:colOff>962025</xdr:colOff>
      <xdr:row>4</xdr:row>
      <xdr:rowOff>76200</xdr:rowOff>
    </xdr:from>
    <xdr:to>
      <xdr:col>8</xdr:col>
      <xdr:colOff>76200</xdr:colOff>
      <xdr:row>24</xdr:row>
      <xdr:rowOff>142875</xdr:rowOff>
    </xdr:to>
    <xdr:sp macro="" textlink="">
      <xdr:nvSpPr>
        <xdr:cNvPr id="67668" name="Rectangle 1"/>
        <xdr:cNvSpPr>
          <a:spLocks noChangeArrowheads="1"/>
        </xdr:cNvSpPr>
      </xdr:nvSpPr>
      <xdr:spPr bwMode="auto">
        <a:xfrm>
          <a:off x="962025" y="895350"/>
          <a:ext cx="5629275" cy="3314700"/>
        </a:xfrm>
        <a:prstGeom prst="rect">
          <a:avLst/>
        </a:prstGeom>
        <a:noFill/>
        <a:ln w="28575">
          <a:solidFill>
            <a:srgbClr val="0000FF"/>
          </a:solidFill>
          <a:miter lim="800000"/>
          <a:headEnd/>
          <a:tailEnd/>
        </a:ln>
      </xdr:spPr>
    </xdr:sp>
    <xdr:clientData/>
  </xdr:twoCellAnchor>
  <xdr:twoCellAnchor editAs="oneCell">
    <xdr:from>
      <xdr:col>4</xdr:col>
      <xdr:colOff>400050</xdr:colOff>
      <xdr:row>5</xdr:row>
      <xdr:rowOff>0</xdr:rowOff>
    </xdr:from>
    <xdr:to>
      <xdr:col>7</xdr:col>
      <xdr:colOff>476250</xdr:colOff>
      <xdr:row>24</xdr:row>
      <xdr:rowOff>76200</xdr:rowOff>
    </xdr:to>
    <xdr:pic>
      <xdr:nvPicPr>
        <xdr:cNvPr id="67669" name="Picture 11"/>
        <xdr:cNvPicPr>
          <a:picLocks noChangeAspect="1" noChangeArrowheads="1"/>
        </xdr:cNvPicPr>
      </xdr:nvPicPr>
      <xdr:blipFill>
        <a:blip xmlns:r="http://schemas.openxmlformats.org/officeDocument/2006/relationships" r:embed="rId1" cstate="print"/>
        <a:srcRect/>
        <a:stretch>
          <a:fillRect/>
        </a:stretch>
      </xdr:blipFill>
      <xdr:spPr bwMode="auto">
        <a:xfrm>
          <a:off x="4048125" y="933450"/>
          <a:ext cx="2333625" cy="3209925"/>
        </a:xfrm>
        <a:prstGeom prst="rect">
          <a:avLst/>
        </a:prstGeom>
        <a:noFill/>
        <a:ln w="9525">
          <a:noFill/>
          <a:miter lim="800000"/>
          <a:headEnd/>
          <a:tailEnd/>
        </a:ln>
      </xdr:spPr>
    </xdr:pic>
    <xdr:clientData/>
  </xdr:twoCellAnchor>
  <xdr:twoCellAnchor editAs="absolute">
    <xdr:from>
      <xdr:col>0</xdr:col>
      <xdr:colOff>57150</xdr:colOff>
      <xdr:row>0</xdr:row>
      <xdr:rowOff>47625</xdr:rowOff>
    </xdr:from>
    <xdr:to>
      <xdr:col>0</xdr:col>
      <xdr:colOff>952500</xdr:colOff>
      <xdr:row>1</xdr:row>
      <xdr:rowOff>114300</xdr:rowOff>
    </xdr:to>
    <xdr:pic>
      <xdr:nvPicPr>
        <xdr:cNvPr id="67670" name="Picture 24">
          <a:hlinkClick xmlns:r="http://schemas.openxmlformats.org/officeDocument/2006/relationships" r:id="rId2" tooltip="Return to Main Menu"/>
        </xdr:cNvPr>
        <xdr:cNvPicPr>
          <a:picLocks noChangeAspect="1" noChangeArrowheads="1"/>
        </xdr:cNvPicPr>
      </xdr:nvPicPr>
      <xdr:blipFill>
        <a:blip xmlns:r="http://schemas.openxmlformats.org/officeDocument/2006/relationships" r:embed="rId3" cstate="print"/>
        <a:srcRect/>
        <a:stretch>
          <a:fillRect/>
        </a:stretch>
      </xdr:blipFill>
      <xdr:spPr bwMode="auto">
        <a:xfrm>
          <a:off x="57150" y="47625"/>
          <a:ext cx="895350" cy="228600"/>
        </a:xfrm>
        <a:prstGeom prst="rect">
          <a:avLst/>
        </a:prstGeom>
        <a:noFill/>
        <a:ln w="9525">
          <a:noFill/>
          <a:miter lim="800000"/>
          <a:headEnd/>
          <a:tailEnd/>
        </a:ln>
      </xdr:spPr>
    </xdr:pic>
    <xdr:clientData fPrintsWithSheet="0"/>
  </xdr:twoCellAnchor>
  <xdr:twoCellAnchor editAs="absolute">
    <xdr:from>
      <xdr:col>0</xdr:col>
      <xdr:colOff>57150</xdr:colOff>
      <xdr:row>1</xdr:row>
      <xdr:rowOff>123825</xdr:rowOff>
    </xdr:from>
    <xdr:to>
      <xdr:col>0</xdr:col>
      <xdr:colOff>952500</xdr:colOff>
      <xdr:row>2</xdr:row>
      <xdr:rowOff>161925</xdr:rowOff>
    </xdr:to>
    <xdr:pic>
      <xdr:nvPicPr>
        <xdr:cNvPr id="67671" name="Picture 25">
          <a:hlinkClick xmlns:r="http://schemas.openxmlformats.org/officeDocument/2006/relationships" r:id="rId4" tooltip="Go To Master Index"/>
        </xdr:cNvPr>
        <xdr:cNvPicPr>
          <a:picLocks noChangeAspect="1" noChangeArrowheads="1"/>
        </xdr:cNvPicPr>
      </xdr:nvPicPr>
      <xdr:blipFill>
        <a:blip xmlns:r="http://schemas.openxmlformats.org/officeDocument/2006/relationships" r:embed="rId5" cstate="print"/>
        <a:srcRect/>
        <a:stretch>
          <a:fillRect/>
        </a:stretch>
      </xdr:blipFill>
      <xdr:spPr bwMode="auto">
        <a:xfrm>
          <a:off x="57150" y="285750"/>
          <a:ext cx="895350" cy="228600"/>
        </a:xfrm>
        <a:prstGeom prst="rect">
          <a:avLst/>
        </a:prstGeom>
        <a:noFill/>
        <a:ln w="9525">
          <a:noFill/>
          <a:miter lim="800000"/>
          <a:headEnd/>
          <a:tailEnd/>
        </a:ln>
      </xdr:spPr>
    </xdr:pic>
    <xdr:clientData fPrintsWithSheet="0"/>
  </xdr:twoCellAnchor>
  <xdr:twoCellAnchor editAs="absolute">
    <xdr:from>
      <xdr:col>0</xdr:col>
      <xdr:colOff>57150</xdr:colOff>
      <xdr:row>2</xdr:row>
      <xdr:rowOff>190500</xdr:rowOff>
    </xdr:from>
    <xdr:to>
      <xdr:col>0</xdr:col>
      <xdr:colOff>952500</xdr:colOff>
      <xdr:row>3</xdr:row>
      <xdr:rowOff>219075</xdr:rowOff>
    </xdr:to>
    <xdr:pic>
      <xdr:nvPicPr>
        <xdr:cNvPr id="67672" name="Picture 26">
          <a:hlinkClick xmlns:r="http://schemas.openxmlformats.org/officeDocument/2006/relationships" r:id="rId6" tooltip="Go To Weights Menu"/>
        </xdr:cNvPr>
        <xdr:cNvPicPr>
          <a:picLocks noChangeAspect="1" noChangeArrowheads="1"/>
        </xdr:cNvPicPr>
      </xdr:nvPicPr>
      <xdr:blipFill>
        <a:blip xmlns:r="http://schemas.openxmlformats.org/officeDocument/2006/relationships" r:embed="rId7" cstate="print"/>
        <a:srcRect/>
        <a:stretch>
          <a:fillRect/>
        </a:stretch>
      </xdr:blipFill>
      <xdr:spPr bwMode="auto">
        <a:xfrm>
          <a:off x="57150" y="542925"/>
          <a:ext cx="895350" cy="228600"/>
        </a:xfrm>
        <a:prstGeom prst="rect">
          <a:avLst/>
        </a:prstGeom>
        <a:noFill/>
        <a:ln w="9525">
          <a:noFill/>
          <a:miter lim="800000"/>
          <a:headEnd/>
          <a:tailEnd/>
        </a:ln>
      </xdr:spPr>
    </xdr:pic>
    <xdr:clientData fPrintsWithSheet="0"/>
  </xdr:twoCellAnchor>
  <xdr:twoCellAnchor editAs="absolute">
    <xdr:from>
      <xdr:col>0</xdr:col>
      <xdr:colOff>57150</xdr:colOff>
      <xdr:row>3</xdr:row>
      <xdr:rowOff>219075</xdr:rowOff>
    </xdr:from>
    <xdr:to>
      <xdr:col>0</xdr:col>
      <xdr:colOff>952500</xdr:colOff>
      <xdr:row>5</xdr:row>
      <xdr:rowOff>66675</xdr:rowOff>
    </xdr:to>
    <xdr:pic>
      <xdr:nvPicPr>
        <xdr:cNvPr id="67673" name="Picture 27">
          <a:hlinkClick xmlns:r="http://schemas.openxmlformats.org/officeDocument/2006/relationships" r:id="rId8" tooltip="Go To Tension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57150" y="771525"/>
          <a:ext cx="895350" cy="228600"/>
        </a:xfrm>
        <a:prstGeom prst="rect">
          <a:avLst/>
        </a:prstGeom>
        <a:noFill/>
        <a:ln w="9525">
          <a:noFill/>
          <a:miter lim="800000"/>
          <a:headEnd/>
          <a:tailEnd/>
        </a:ln>
      </xdr:spPr>
    </xdr:pic>
    <xdr:clientData fPrintsWithSheet="0"/>
  </xdr:twoCellAnchor>
  <xdr:twoCellAnchor editAs="absolute">
    <xdr:from>
      <xdr:col>0</xdr:col>
      <xdr:colOff>57150</xdr:colOff>
      <xdr:row>5</xdr:row>
      <xdr:rowOff>66675</xdr:rowOff>
    </xdr:from>
    <xdr:to>
      <xdr:col>0</xdr:col>
      <xdr:colOff>952500</xdr:colOff>
      <xdr:row>6</xdr:row>
      <xdr:rowOff>95250</xdr:rowOff>
    </xdr:to>
    <xdr:pic>
      <xdr:nvPicPr>
        <xdr:cNvPr id="67674" name="Picture 28">
          <a:hlinkClick xmlns:r="http://schemas.openxmlformats.org/officeDocument/2006/relationships" r:id="rId10" tooltip="Go To Equipment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7150" y="1000125"/>
          <a:ext cx="895350" cy="228600"/>
        </a:xfrm>
        <a:prstGeom prst="rect">
          <a:avLst/>
        </a:prstGeom>
        <a:noFill/>
        <a:ln w="9525">
          <a:noFill/>
          <a:miter lim="800000"/>
          <a:headEnd/>
          <a:tailEnd/>
        </a:ln>
      </xdr:spPr>
    </xdr:pic>
    <xdr:clientData fPrintsWithSheet="0"/>
  </xdr:twoCellAnchor>
  <xdr:twoCellAnchor editAs="absolute">
    <xdr:from>
      <xdr:col>0</xdr:col>
      <xdr:colOff>95250</xdr:colOff>
      <xdr:row>6</xdr:row>
      <xdr:rowOff>133350</xdr:rowOff>
    </xdr:from>
    <xdr:to>
      <xdr:col>0</xdr:col>
      <xdr:colOff>323850</xdr:colOff>
      <xdr:row>7</xdr:row>
      <xdr:rowOff>200025</xdr:rowOff>
    </xdr:to>
    <xdr:pic>
      <xdr:nvPicPr>
        <xdr:cNvPr id="67675" name="Picture 29" descr="Code Information">
          <a:hlinkClick xmlns:r="http://schemas.openxmlformats.org/officeDocument/2006/relationships" r:id="rId12" tooltip="Code Information"/>
        </xdr:cNvPr>
        <xdr:cNvPicPr>
          <a:picLocks noChangeAspect="1" noChangeArrowheads="1"/>
        </xdr:cNvPicPr>
      </xdr:nvPicPr>
      <xdr:blipFill>
        <a:blip xmlns:r="http://schemas.openxmlformats.org/officeDocument/2006/relationships" r:embed="rId13" cstate="print"/>
        <a:srcRect/>
        <a:stretch>
          <a:fillRect/>
        </a:stretch>
      </xdr:blipFill>
      <xdr:spPr bwMode="auto">
        <a:xfrm>
          <a:off x="95250" y="1266825"/>
          <a:ext cx="228600" cy="228600"/>
        </a:xfrm>
        <a:prstGeom prst="rect">
          <a:avLst/>
        </a:prstGeom>
        <a:noFill/>
        <a:ln w="9525">
          <a:noFill/>
          <a:miter lim="800000"/>
          <a:headEnd/>
          <a:tailEnd/>
        </a:ln>
      </xdr:spPr>
    </xdr:pic>
    <xdr:clientData fPrintsWithSheet="0"/>
  </xdr:twoCellAnchor>
  <xdr:twoCellAnchor editAs="absolute">
    <xdr:from>
      <xdr:col>0</xdr:col>
      <xdr:colOff>352425</xdr:colOff>
      <xdr:row>6</xdr:row>
      <xdr:rowOff>133350</xdr:rowOff>
    </xdr:from>
    <xdr:to>
      <xdr:col>0</xdr:col>
      <xdr:colOff>581025</xdr:colOff>
      <xdr:row>7</xdr:row>
      <xdr:rowOff>200025</xdr:rowOff>
    </xdr:to>
    <xdr:pic>
      <xdr:nvPicPr>
        <xdr:cNvPr id="67676" name="Picture 30" descr="help">
          <a:hlinkClick xmlns:r="http://schemas.openxmlformats.org/officeDocument/2006/relationships" r:id="rId14" tooltip="Help"/>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52425" y="1266825"/>
          <a:ext cx="228600" cy="228600"/>
        </a:xfrm>
        <a:prstGeom prst="rect">
          <a:avLst/>
        </a:prstGeom>
        <a:noFill/>
        <a:ln w="9525">
          <a:noFill/>
          <a:miter lim="800000"/>
          <a:headEnd/>
          <a:tailEnd/>
        </a:ln>
      </xdr:spPr>
    </xdr:pic>
    <xdr:clientData fPrintsWithSheet="0"/>
  </xdr:twoCellAnchor>
  <xdr:twoCellAnchor editAs="absolute">
    <xdr:from>
      <xdr:col>0</xdr:col>
      <xdr:colOff>619125</xdr:colOff>
      <xdr:row>6</xdr:row>
      <xdr:rowOff>133350</xdr:rowOff>
    </xdr:from>
    <xdr:to>
      <xdr:col>0</xdr:col>
      <xdr:colOff>847725</xdr:colOff>
      <xdr:row>7</xdr:row>
      <xdr:rowOff>200025</xdr:rowOff>
    </xdr:to>
    <xdr:pic>
      <xdr:nvPicPr>
        <xdr:cNvPr id="67677" name="Picture 31" descr="star">
          <a:hlinkClick xmlns:r="http://schemas.openxmlformats.org/officeDocument/2006/relationships" r:id="rId16" tooltip="Conversions"/>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19125" y="1266825"/>
          <a:ext cx="228600" cy="228600"/>
        </a:xfrm>
        <a:prstGeom prst="rect">
          <a:avLst/>
        </a:prstGeom>
        <a:noFill/>
        <a:ln w="9525">
          <a:noFill/>
          <a:miter lim="800000"/>
          <a:headEnd/>
          <a:tailEnd/>
        </a:ln>
      </xdr:spPr>
    </xdr:pic>
    <xdr:clientData fPrintsWithSheet="0"/>
  </xdr:twoCellAnchor>
  <xdr:twoCellAnchor>
    <xdr:from>
      <xdr:col>2</xdr:col>
      <xdr:colOff>142875</xdr:colOff>
      <xdr:row>3</xdr:row>
      <xdr:rowOff>161925</xdr:rowOff>
    </xdr:from>
    <xdr:to>
      <xdr:col>2</xdr:col>
      <xdr:colOff>466725</xdr:colOff>
      <xdr:row>3</xdr:row>
      <xdr:rowOff>161925</xdr:rowOff>
    </xdr:to>
    <xdr:sp macro="" textlink="">
      <xdr:nvSpPr>
        <xdr:cNvPr id="67678" name="Line 34"/>
        <xdr:cNvSpPr>
          <a:spLocks noChangeShapeType="1"/>
        </xdr:cNvSpPr>
      </xdr:nvSpPr>
      <xdr:spPr bwMode="auto">
        <a:xfrm>
          <a:off x="2200275" y="714375"/>
          <a:ext cx="323850" cy="0"/>
        </a:xfrm>
        <a:prstGeom prst="line">
          <a:avLst/>
        </a:prstGeom>
        <a:noFill/>
        <a:ln w="38100">
          <a:solidFill>
            <a:srgbClr val="000000"/>
          </a:solidFill>
          <a:round/>
          <a:headEnd/>
          <a:tailEnd type="triangle" w="med" len="med"/>
        </a:ln>
      </xdr:spPr>
    </xdr:sp>
    <xdr:clientData/>
  </xdr:twoCellAnchor>
  <mc:AlternateContent xmlns:mc="http://schemas.openxmlformats.org/markup-compatibility/2006">
    <mc:Choice xmlns:a14="http://schemas.microsoft.com/office/drawing/2010/main" Requires="a14">
      <xdr:twoCellAnchor editAs="oneCell">
        <xdr:from>
          <xdr:col>4</xdr:col>
          <xdr:colOff>495300</xdr:colOff>
          <xdr:row>5</xdr:row>
          <xdr:rowOff>9525</xdr:rowOff>
        </xdr:from>
        <xdr:to>
          <xdr:col>5</xdr:col>
          <xdr:colOff>390525</xdr:colOff>
          <xdr:row>6</xdr:row>
          <xdr:rowOff>9525</xdr:rowOff>
        </xdr:to>
        <xdr:sp macro="" textlink="">
          <xdr:nvSpPr>
            <xdr:cNvPr id="67597" name="Drop Down 13" hidden="1">
              <a:extLst>
                <a:ext uri="{63B3BB69-23CF-44E3-9099-C40C66FF867C}">
                  <a14:compatExt spid="_x0000_s675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590550</xdr:colOff>
          <xdr:row>3</xdr:row>
          <xdr:rowOff>57150</xdr:rowOff>
        </xdr:from>
        <xdr:to>
          <xdr:col>7</xdr:col>
          <xdr:colOff>523875</xdr:colOff>
          <xdr:row>3</xdr:row>
          <xdr:rowOff>257175</xdr:rowOff>
        </xdr:to>
        <xdr:sp macro="" textlink="">
          <xdr:nvSpPr>
            <xdr:cNvPr id="67616" name="Drop Down 32" hidden="1">
              <a:extLst>
                <a:ext uri="{63B3BB69-23CF-44E3-9099-C40C66FF867C}">
                  <a14:compatExt spid="_x0000_s67616"/>
                </a:ext>
              </a:extLst>
            </xdr:cNvPr>
            <xdr:cNvSpPr/>
          </xdr:nvSpPr>
          <xdr:spPr>
            <a:xfrm>
              <a:off x="0" y="0"/>
              <a:ext cx="0" cy="0"/>
            </a:xfrm>
            <a:prstGeom prst="rect">
              <a:avLst/>
            </a:prstGeom>
          </xdr:spPr>
        </xdr:sp>
        <xdr:clientData fLocksWithSheet="0"/>
      </xdr:twoCellAnchor>
    </mc:Choice>
    <mc:Fallback/>
  </mc:AlternateContent>
</xdr:wsDr>
</file>

<file path=xl/drawings/drawing36.xml><?xml version="1.0" encoding="utf-8"?>
<xdr:wsDr xmlns:xdr="http://schemas.openxmlformats.org/drawingml/2006/spreadsheetDrawing" xmlns:a="http://schemas.openxmlformats.org/drawingml/2006/main">
  <xdr:twoCellAnchor editAs="absolute">
    <xdr:from>
      <xdr:col>6</xdr:col>
      <xdr:colOff>47625</xdr:colOff>
      <xdr:row>0</xdr:row>
      <xdr:rowOff>0</xdr:rowOff>
    </xdr:from>
    <xdr:to>
      <xdr:col>11</xdr:col>
      <xdr:colOff>219075</xdr:colOff>
      <xdr:row>11</xdr:row>
      <xdr:rowOff>9525</xdr:rowOff>
    </xdr:to>
    <xdr:pic>
      <xdr:nvPicPr>
        <xdr:cNvPr id="50315" name="Picture 21"/>
        <xdr:cNvPicPr>
          <a:picLocks noChangeAspect="1" noChangeArrowheads="1"/>
        </xdr:cNvPicPr>
      </xdr:nvPicPr>
      <xdr:blipFill>
        <a:blip xmlns:r="http://schemas.openxmlformats.org/officeDocument/2006/relationships" r:embed="rId1" cstate="print"/>
        <a:srcRect/>
        <a:stretch>
          <a:fillRect/>
        </a:stretch>
      </xdr:blipFill>
      <xdr:spPr bwMode="auto">
        <a:xfrm>
          <a:off x="5295900" y="0"/>
          <a:ext cx="3038475" cy="2247900"/>
        </a:xfrm>
        <a:prstGeom prst="rect">
          <a:avLst/>
        </a:prstGeom>
        <a:noFill/>
        <a:ln w="9525">
          <a:noFill/>
          <a:miter lim="800000"/>
          <a:headEnd/>
          <a:tailEnd/>
        </a:ln>
      </xdr:spPr>
    </xdr:pic>
    <xdr:clientData/>
  </xdr:twoCellAnchor>
  <xdr:twoCellAnchor editAs="oneCell">
    <xdr:from>
      <xdr:col>0</xdr:col>
      <xdr:colOff>219075</xdr:colOff>
      <xdr:row>10</xdr:row>
      <xdr:rowOff>161925</xdr:rowOff>
    </xdr:from>
    <xdr:to>
      <xdr:col>2</xdr:col>
      <xdr:colOff>342900</xdr:colOff>
      <xdr:row>27</xdr:row>
      <xdr:rowOff>114300</xdr:rowOff>
    </xdr:to>
    <xdr:pic>
      <xdr:nvPicPr>
        <xdr:cNvPr id="50316" name="Picture 22"/>
        <xdr:cNvPicPr>
          <a:picLocks noChangeAspect="1" noChangeArrowheads="1"/>
        </xdr:cNvPicPr>
      </xdr:nvPicPr>
      <xdr:blipFill>
        <a:blip xmlns:r="http://schemas.openxmlformats.org/officeDocument/2006/relationships" r:embed="rId2" cstate="print"/>
        <a:srcRect/>
        <a:stretch>
          <a:fillRect/>
        </a:stretch>
      </xdr:blipFill>
      <xdr:spPr bwMode="auto">
        <a:xfrm>
          <a:off x="219075" y="2171700"/>
          <a:ext cx="2019300" cy="2790825"/>
        </a:xfrm>
        <a:prstGeom prst="rect">
          <a:avLst/>
        </a:prstGeom>
        <a:noFill/>
        <a:ln w="9525">
          <a:noFill/>
          <a:miter lim="800000"/>
          <a:headEnd/>
          <a:tailEnd/>
        </a:ln>
      </xdr:spPr>
    </xdr:pic>
    <xdr:clientData/>
  </xdr:twoCellAnchor>
  <xdr:twoCellAnchor>
    <xdr:from>
      <xdr:col>1</xdr:col>
      <xdr:colOff>9525</xdr:colOff>
      <xdr:row>9</xdr:row>
      <xdr:rowOff>9525</xdr:rowOff>
    </xdr:from>
    <xdr:to>
      <xdr:col>6</xdr:col>
      <xdr:colOff>19050</xdr:colOff>
      <xdr:row>10</xdr:row>
      <xdr:rowOff>57150</xdr:rowOff>
    </xdr:to>
    <xdr:sp macro="" textlink="">
      <xdr:nvSpPr>
        <xdr:cNvPr id="50317" name="Rectangle 29"/>
        <xdr:cNvSpPr>
          <a:spLocks noChangeArrowheads="1"/>
        </xdr:cNvSpPr>
      </xdr:nvSpPr>
      <xdr:spPr bwMode="auto">
        <a:xfrm>
          <a:off x="981075" y="1781175"/>
          <a:ext cx="4286250" cy="285750"/>
        </a:xfrm>
        <a:prstGeom prst="rect">
          <a:avLst/>
        </a:prstGeom>
        <a:solidFill>
          <a:srgbClr val="FFFF00"/>
        </a:solidFill>
        <a:ln w="9525">
          <a:solidFill>
            <a:srgbClr val="000000"/>
          </a:solidFill>
          <a:miter lim="800000"/>
          <a:headEnd/>
          <a:tailEnd/>
        </a:ln>
      </xdr:spPr>
    </xdr:sp>
    <xdr:clientData/>
  </xdr:twoCellAnchor>
  <xdr:twoCellAnchor>
    <xdr:from>
      <xdr:col>1</xdr:col>
      <xdr:colOff>114300</xdr:colOff>
      <xdr:row>9</xdr:row>
      <xdr:rowOff>161925</xdr:rowOff>
    </xdr:from>
    <xdr:to>
      <xdr:col>1</xdr:col>
      <xdr:colOff>438150</xdr:colOff>
      <xdr:row>9</xdr:row>
      <xdr:rowOff>161925</xdr:rowOff>
    </xdr:to>
    <xdr:sp macro="" textlink="">
      <xdr:nvSpPr>
        <xdr:cNvPr id="50318" name="Line 28"/>
        <xdr:cNvSpPr>
          <a:spLocks noChangeShapeType="1"/>
        </xdr:cNvSpPr>
      </xdr:nvSpPr>
      <xdr:spPr bwMode="auto">
        <a:xfrm>
          <a:off x="1085850" y="1933575"/>
          <a:ext cx="323850" cy="0"/>
        </a:xfrm>
        <a:prstGeom prst="line">
          <a:avLst/>
        </a:prstGeom>
        <a:noFill/>
        <a:ln w="38100">
          <a:solidFill>
            <a:srgbClr val="000000"/>
          </a:solidFill>
          <a:round/>
          <a:headEnd/>
          <a:tailEnd type="triangle" w="med" len="med"/>
        </a:ln>
      </xdr:spPr>
    </xdr:sp>
    <xdr:clientData/>
  </xdr:twoCellAnchor>
  <xdr:twoCellAnchor editAs="absolute">
    <xdr:from>
      <xdr:col>0</xdr:col>
      <xdr:colOff>38100</xdr:colOff>
      <xdr:row>0</xdr:row>
      <xdr:rowOff>47625</xdr:rowOff>
    </xdr:from>
    <xdr:to>
      <xdr:col>0</xdr:col>
      <xdr:colOff>933450</xdr:colOff>
      <xdr:row>1</xdr:row>
      <xdr:rowOff>114300</xdr:rowOff>
    </xdr:to>
    <xdr:pic>
      <xdr:nvPicPr>
        <xdr:cNvPr id="50319" name="Picture 42">
          <a:hlinkClick xmlns:r="http://schemas.openxmlformats.org/officeDocument/2006/relationships" r:id="rId3" tooltip="Return to Main Menu"/>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100" y="47625"/>
          <a:ext cx="895350" cy="228600"/>
        </a:xfrm>
        <a:prstGeom prst="rect">
          <a:avLst/>
        </a:prstGeom>
        <a:noFill/>
        <a:ln w="9525">
          <a:noFill/>
          <a:miter lim="800000"/>
          <a:headEnd/>
          <a:tailEnd/>
        </a:ln>
      </xdr:spPr>
    </xdr:pic>
    <xdr:clientData fPrintsWithSheet="0"/>
  </xdr:twoCellAnchor>
  <xdr:twoCellAnchor editAs="absolute">
    <xdr:from>
      <xdr:col>0</xdr:col>
      <xdr:colOff>38100</xdr:colOff>
      <xdr:row>1</xdr:row>
      <xdr:rowOff>123825</xdr:rowOff>
    </xdr:from>
    <xdr:to>
      <xdr:col>0</xdr:col>
      <xdr:colOff>933450</xdr:colOff>
      <xdr:row>2</xdr:row>
      <xdr:rowOff>152400</xdr:rowOff>
    </xdr:to>
    <xdr:pic>
      <xdr:nvPicPr>
        <xdr:cNvPr id="50320" name="Picture 43">
          <a:hlinkClick xmlns:r="http://schemas.openxmlformats.org/officeDocument/2006/relationships" r:id="rId5" tooltip="Go To Master Index"/>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 y="285750"/>
          <a:ext cx="895350" cy="228600"/>
        </a:xfrm>
        <a:prstGeom prst="rect">
          <a:avLst/>
        </a:prstGeom>
        <a:noFill/>
        <a:ln w="9525">
          <a:noFill/>
          <a:miter lim="800000"/>
          <a:headEnd/>
          <a:tailEnd/>
        </a:ln>
      </xdr:spPr>
    </xdr:pic>
    <xdr:clientData fPrintsWithSheet="0"/>
  </xdr:twoCellAnchor>
  <xdr:twoCellAnchor editAs="absolute">
    <xdr:from>
      <xdr:col>0</xdr:col>
      <xdr:colOff>38100</xdr:colOff>
      <xdr:row>2</xdr:row>
      <xdr:rowOff>180975</xdr:rowOff>
    </xdr:from>
    <xdr:to>
      <xdr:col>0</xdr:col>
      <xdr:colOff>933450</xdr:colOff>
      <xdr:row>4</xdr:row>
      <xdr:rowOff>9525</xdr:rowOff>
    </xdr:to>
    <xdr:pic>
      <xdr:nvPicPr>
        <xdr:cNvPr id="50321" name="Picture 44">
          <a:hlinkClick xmlns:r="http://schemas.openxmlformats.org/officeDocument/2006/relationships" r:id="rId7" tooltip="Go To Weights Menu"/>
        </xdr:cNvPr>
        <xdr:cNvPicPr>
          <a:picLocks noChangeAspect="1" noChangeArrowheads="1"/>
        </xdr:cNvPicPr>
      </xdr:nvPicPr>
      <xdr:blipFill>
        <a:blip xmlns:r="http://schemas.openxmlformats.org/officeDocument/2006/relationships" r:embed="rId8" cstate="print"/>
        <a:srcRect/>
        <a:stretch>
          <a:fillRect/>
        </a:stretch>
      </xdr:blipFill>
      <xdr:spPr bwMode="auto">
        <a:xfrm>
          <a:off x="38100" y="542925"/>
          <a:ext cx="895350" cy="228600"/>
        </a:xfrm>
        <a:prstGeom prst="rect">
          <a:avLst/>
        </a:prstGeom>
        <a:noFill/>
        <a:ln w="9525">
          <a:noFill/>
          <a:miter lim="800000"/>
          <a:headEnd/>
          <a:tailEnd/>
        </a:ln>
      </xdr:spPr>
    </xdr:pic>
    <xdr:clientData fPrintsWithSheet="0"/>
  </xdr:twoCellAnchor>
  <xdr:twoCellAnchor editAs="absolute">
    <xdr:from>
      <xdr:col>0</xdr:col>
      <xdr:colOff>38100</xdr:colOff>
      <xdr:row>4</xdr:row>
      <xdr:rowOff>9525</xdr:rowOff>
    </xdr:from>
    <xdr:to>
      <xdr:col>0</xdr:col>
      <xdr:colOff>933450</xdr:colOff>
      <xdr:row>5</xdr:row>
      <xdr:rowOff>38100</xdr:rowOff>
    </xdr:to>
    <xdr:pic>
      <xdr:nvPicPr>
        <xdr:cNvPr id="50322" name="Picture 45">
          <a:hlinkClick xmlns:r="http://schemas.openxmlformats.org/officeDocument/2006/relationships" r:id="rId9" tooltip="Go To Tensions Menu"/>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8100" y="771525"/>
          <a:ext cx="895350" cy="228600"/>
        </a:xfrm>
        <a:prstGeom prst="rect">
          <a:avLst/>
        </a:prstGeom>
        <a:noFill/>
        <a:ln w="9525">
          <a:noFill/>
          <a:miter lim="800000"/>
          <a:headEnd/>
          <a:tailEnd/>
        </a:ln>
      </xdr:spPr>
    </xdr:pic>
    <xdr:clientData fPrintsWithSheet="0"/>
  </xdr:twoCellAnchor>
  <xdr:twoCellAnchor editAs="absolute">
    <xdr:from>
      <xdr:col>0</xdr:col>
      <xdr:colOff>38100</xdr:colOff>
      <xdr:row>5</xdr:row>
      <xdr:rowOff>38100</xdr:rowOff>
    </xdr:from>
    <xdr:to>
      <xdr:col>0</xdr:col>
      <xdr:colOff>933450</xdr:colOff>
      <xdr:row>6</xdr:row>
      <xdr:rowOff>104775</xdr:rowOff>
    </xdr:to>
    <xdr:pic>
      <xdr:nvPicPr>
        <xdr:cNvPr id="50323" name="Picture 46">
          <a:hlinkClick xmlns:r="http://schemas.openxmlformats.org/officeDocument/2006/relationships" r:id="rId11" tooltip="Go To Equipment Menu"/>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8100" y="1000125"/>
          <a:ext cx="895350" cy="228600"/>
        </a:xfrm>
        <a:prstGeom prst="rect">
          <a:avLst/>
        </a:prstGeom>
        <a:noFill/>
        <a:ln w="9525">
          <a:noFill/>
          <a:miter lim="800000"/>
          <a:headEnd/>
          <a:tailEnd/>
        </a:ln>
      </xdr:spPr>
    </xdr:pic>
    <xdr:clientData fPrintsWithSheet="0"/>
  </xdr:twoCellAnchor>
  <xdr:twoCellAnchor editAs="absolute">
    <xdr:from>
      <xdr:col>0</xdr:col>
      <xdr:colOff>85725</xdr:colOff>
      <xdr:row>6</xdr:row>
      <xdr:rowOff>133350</xdr:rowOff>
    </xdr:from>
    <xdr:to>
      <xdr:col>0</xdr:col>
      <xdr:colOff>314325</xdr:colOff>
      <xdr:row>7</xdr:row>
      <xdr:rowOff>114300</xdr:rowOff>
    </xdr:to>
    <xdr:pic>
      <xdr:nvPicPr>
        <xdr:cNvPr id="50324" name="Picture 47" descr="Code Information">
          <a:hlinkClick xmlns:r="http://schemas.openxmlformats.org/officeDocument/2006/relationships" r:id="rId13" tooltip="Code Information"/>
        </xdr:cNvPr>
        <xdr:cNvPicPr>
          <a:picLocks noChangeAspect="1" noChangeArrowheads="1"/>
        </xdr:cNvPicPr>
      </xdr:nvPicPr>
      <xdr:blipFill>
        <a:blip xmlns:r="http://schemas.openxmlformats.org/officeDocument/2006/relationships" r:embed="rId14" cstate="print"/>
        <a:srcRect/>
        <a:stretch>
          <a:fillRect/>
        </a:stretch>
      </xdr:blipFill>
      <xdr:spPr bwMode="auto">
        <a:xfrm>
          <a:off x="85725" y="1257300"/>
          <a:ext cx="228600" cy="228600"/>
        </a:xfrm>
        <a:prstGeom prst="rect">
          <a:avLst/>
        </a:prstGeom>
        <a:noFill/>
        <a:ln w="9525">
          <a:noFill/>
          <a:miter lim="800000"/>
          <a:headEnd/>
          <a:tailEnd/>
        </a:ln>
      </xdr:spPr>
    </xdr:pic>
    <xdr:clientData fPrintsWithSheet="0"/>
  </xdr:twoCellAnchor>
  <xdr:twoCellAnchor editAs="absolute">
    <xdr:from>
      <xdr:col>0</xdr:col>
      <xdr:colOff>342900</xdr:colOff>
      <xdr:row>6</xdr:row>
      <xdr:rowOff>133350</xdr:rowOff>
    </xdr:from>
    <xdr:to>
      <xdr:col>0</xdr:col>
      <xdr:colOff>571500</xdr:colOff>
      <xdr:row>7</xdr:row>
      <xdr:rowOff>114300</xdr:rowOff>
    </xdr:to>
    <xdr:pic>
      <xdr:nvPicPr>
        <xdr:cNvPr id="50325" name="Picture 48" descr="help">
          <a:hlinkClick xmlns:r="http://schemas.openxmlformats.org/officeDocument/2006/relationships" r:id="rId15" tooltip="Help"/>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42900" y="1257300"/>
          <a:ext cx="228600" cy="228600"/>
        </a:xfrm>
        <a:prstGeom prst="rect">
          <a:avLst/>
        </a:prstGeom>
        <a:noFill/>
        <a:ln w="9525">
          <a:noFill/>
          <a:miter lim="800000"/>
          <a:headEnd/>
          <a:tailEnd/>
        </a:ln>
      </xdr:spPr>
    </xdr:pic>
    <xdr:clientData fPrintsWithSheet="0"/>
  </xdr:twoCellAnchor>
  <xdr:twoCellAnchor editAs="absolute">
    <xdr:from>
      <xdr:col>0</xdr:col>
      <xdr:colOff>609600</xdr:colOff>
      <xdr:row>6</xdr:row>
      <xdr:rowOff>133350</xdr:rowOff>
    </xdr:from>
    <xdr:to>
      <xdr:col>0</xdr:col>
      <xdr:colOff>838200</xdr:colOff>
      <xdr:row>7</xdr:row>
      <xdr:rowOff>114300</xdr:rowOff>
    </xdr:to>
    <xdr:pic>
      <xdr:nvPicPr>
        <xdr:cNvPr id="50326" name="Picture 49" descr="star">
          <a:hlinkClick xmlns:r="http://schemas.openxmlformats.org/officeDocument/2006/relationships" r:id="rId17" tooltip="Conversions"/>
        </xdr:cNvPr>
        <xdr:cNvPicPr>
          <a:picLocks noChangeAspect="1" noChangeArrowheads="1"/>
        </xdr:cNvPicPr>
      </xdr:nvPicPr>
      <xdr:blipFill>
        <a:blip xmlns:r="http://schemas.openxmlformats.org/officeDocument/2006/relationships" r:embed="rId18" cstate="print"/>
        <a:srcRect/>
        <a:stretch>
          <a:fillRect/>
        </a:stretch>
      </xdr:blipFill>
      <xdr:spPr bwMode="auto">
        <a:xfrm>
          <a:off x="609600" y="1257300"/>
          <a:ext cx="228600" cy="228600"/>
        </a:xfrm>
        <a:prstGeom prst="rect">
          <a:avLst/>
        </a:prstGeom>
        <a:noFill/>
        <a:ln w="9525">
          <a:noFill/>
          <a:miter lim="800000"/>
          <a:headEnd/>
          <a:tailEnd/>
        </a:ln>
      </xdr:spPr>
    </xdr:pic>
    <xdr:clientData fPrintsWithSheet="0"/>
  </xdr:twoCellAnchor>
  <xdr:twoCellAnchor editAs="oneCell">
    <xdr:from>
      <xdr:col>7</xdr:col>
      <xdr:colOff>447675</xdr:colOff>
      <xdr:row>25</xdr:row>
      <xdr:rowOff>95250</xdr:rowOff>
    </xdr:from>
    <xdr:to>
      <xdr:col>12</xdr:col>
      <xdr:colOff>95250</xdr:colOff>
      <xdr:row>31</xdr:row>
      <xdr:rowOff>66675</xdr:rowOff>
    </xdr:to>
    <xdr:sp macro="" textlink="">
      <xdr:nvSpPr>
        <xdr:cNvPr id="50226" name="Text 4"/>
        <xdr:cNvSpPr>
          <a:spLocks noChangeArrowheads="1"/>
        </xdr:cNvSpPr>
      </xdr:nvSpPr>
      <xdr:spPr bwMode="auto">
        <a:xfrm>
          <a:off x="6305550" y="4619625"/>
          <a:ext cx="2333625" cy="94297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en-GB" sz="1000" b="1" i="0" u="none" strike="noStrike" baseline="0">
              <a:solidFill>
                <a:srgbClr val="FF0000"/>
              </a:solidFill>
              <a:latin typeface="Arial"/>
              <a:cs typeface="Arial"/>
            </a:rPr>
            <a:t>All calculations must be verified by a qualified person, final approval and decision for use of this type of rigging is the responsibility of the qualified person.</a:t>
          </a:r>
        </a:p>
      </xdr:txBody>
    </xdr:sp>
    <xdr:clientData/>
  </xdr:twoCellAnchor>
  <xdr:twoCellAnchor editAs="oneCell">
    <xdr:from>
      <xdr:col>2</xdr:col>
      <xdr:colOff>85725</xdr:colOff>
      <xdr:row>16</xdr:row>
      <xdr:rowOff>114300</xdr:rowOff>
    </xdr:from>
    <xdr:to>
      <xdr:col>7</xdr:col>
      <xdr:colOff>400050</xdr:colOff>
      <xdr:row>32</xdr:row>
      <xdr:rowOff>152400</xdr:rowOff>
    </xdr:to>
    <xdr:pic>
      <xdr:nvPicPr>
        <xdr:cNvPr id="50328" name="Picture 65"/>
        <xdr:cNvPicPr>
          <a:picLocks noChangeAspect="1" noChangeArrowheads="1"/>
        </xdr:cNvPicPr>
      </xdr:nvPicPr>
      <xdr:blipFill>
        <a:blip xmlns:r="http://schemas.openxmlformats.org/officeDocument/2006/relationships" r:embed="rId19" cstate="print"/>
        <a:srcRect/>
        <a:stretch>
          <a:fillRect/>
        </a:stretch>
      </xdr:blipFill>
      <xdr:spPr bwMode="auto">
        <a:xfrm>
          <a:off x="1981200" y="3114675"/>
          <a:ext cx="4276725" cy="2695575"/>
        </a:xfrm>
        <a:prstGeom prst="rect">
          <a:avLst/>
        </a:prstGeom>
        <a:noFill/>
        <a:ln w="9525">
          <a:noFill/>
          <a:miter lim="800000"/>
          <a:headEnd/>
          <a:tailEnd/>
        </a:ln>
      </xdr:spPr>
    </xdr:pic>
    <xdr:clientData/>
  </xdr:twoCellAnchor>
  <xdr:twoCellAnchor>
    <xdr:from>
      <xdr:col>2</xdr:col>
      <xdr:colOff>457200</xdr:colOff>
      <xdr:row>10</xdr:row>
      <xdr:rowOff>152400</xdr:rowOff>
    </xdr:from>
    <xdr:to>
      <xdr:col>7</xdr:col>
      <xdr:colOff>304800</xdr:colOff>
      <xdr:row>19</xdr:row>
      <xdr:rowOff>133350</xdr:rowOff>
    </xdr:to>
    <xdr:sp macro="" textlink="">
      <xdr:nvSpPr>
        <xdr:cNvPr id="50239" name="Text Box 63"/>
        <xdr:cNvSpPr txBox="1">
          <a:spLocks noChangeArrowheads="1"/>
        </xdr:cNvSpPr>
      </xdr:nvSpPr>
      <xdr:spPr bwMode="auto">
        <a:xfrm>
          <a:off x="2352675" y="2162175"/>
          <a:ext cx="3810000" cy="14954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1000" b="1" i="0" u="none" strike="noStrike" baseline="0">
              <a:solidFill>
                <a:srgbClr val="000000"/>
              </a:solidFill>
              <a:latin typeface="Arial"/>
              <a:cs typeface="Arial"/>
            </a:rPr>
            <a:t>Extreme care should be taken to determine the angle of choke as accurately as possible.   In controlled tests, where the angle was less than 120 degrees, the sling body always failed at the point of choke when pulled to destruction. Allowance for this phenomenon must be made anytime a choker hitch is used.</a:t>
          </a:r>
        </a:p>
        <a:p>
          <a:pPr algn="l" rtl="0">
            <a:defRPr sz="1000"/>
          </a:pPr>
          <a:r>
            <a:rPr lang="en-GB" sz="1000" b="1" i="0" u="none" strike="noStrike" baseline="0">
              <a:solidFill>
                <a:srgbClr val="FF0000"/>
              </a:solidFill>
              <a:latin typeface="Arial"/>
              <a:cs typeface="Arial"/>
            </a:rPr>
            <a:t>NOTE: Using a double wrap choker hitch will provide better load control (as shown below).</a:t>
          </a:r>
        </a:p>
      </xdr:txBody>
    </xdr:sp>
    <xdr:clientData/>
  </xdr:twoCellAnchor>
  <xdr:twoCellAnchor>
    <xdr:from>
      <xdr:col>5</xdr:col>
      <xdr:colOff>19050</xdr:colOff>
      <xdr:row>0</xdr:row>
      <xdr:rowOff>28575</xdr:rowOff>
    </xdr:from>
    <xdr:to>
      <xdr:col>7</xdr:col>
      <xdr:colOff>28575</xdr:colOff>
      <xdr:row>4</xdr:row>
      <xdr:rowOff>171450</xdr:rowOff>
    </xdr:to>
    <xdr:grpSp>
      <xdr:nvGrpSpPr>
        <xdr:cNvPr id="50330" name="Group 18"/>
        <xdr:cNvGrpSpPr>
          <a:grpSpLocks/>
        </xdr:cNvGrpSpPr>
      </xdr:nvGrpSpPr>
      <xdr:grpSpPr bwMode="auto">
        <a:xfrm>
          <a:off x="4657725" y="28575"/>
          <a:ext cx="1228725" cy="904875"/>
          <a:chOff x="923" y="79"/>
          <a:chExt cx="129" cy="99"/>
        </a:xfrm>
      </xdr:grpSpPr>
      <xdr:sp macro="" textlink="">
        <xdr:nvSpPr>
          <xdr:cNvPr id="50331" name="Rectangle 9"/>
          <xdr:cNvSpPr>
            <a:spLocks noChangeArrowheads="1"/>
          </xdr:cNvSpPr>
        </xdr:nvSpPr>
        <xdr:spPr bwMode="auto">
          <a:xfrm>
            <a:off x="923" y="79"/>
            <a:ext cx="129" cy="99"/>
          </a:xfrm>
          <a:prstGeom prst="rect">
            <a:avLst/>
          </a:prstGeom>
          <a:solidFill>
            <a:srgbClr val="FFFFFF"/>
          </a:solidFill>
          <a:ln w="9525">
            <a:noFill/>
            <a:miter lim="800000"/>
            <a:headEnd/>
            <a:tailEnd/>
          </a:ln>
        </xdr:spPr>
      </xdr:sp>
      <xdr:sp macro="" textlink="">
        <xdr:nvSpPr>
          <xdr:cNvPr id="50332" name="Rectangle 10"/>
          <xdr:cNvSpPr>
            <a:spLocks noChangeArrowheads="1"/>
          </xdr:cNvSpPr>
        </xdr:nvSpPr>
        <xdr:spPr bwMode="auto">
          <a:xfrm>
            <a:off x="924" y="114"/>
            <a:ext cx="126" cy="42"/>
          </a:xfrm>
          <a:prstGeom prst="rect">
            <a:avLst/>
          </a:prstGeom>
          <a:solidFill>
            <a:srgbClr val="FFFF99"/>
          </a:solidFill>
          <a:ln w="9525">
            <a:solidFill>
              <a:srgbClr val="000000"/>
            </a:solidFill>
            <a:miter lim="800000"/>
            <a:headEnd/>
            <a:tailEnd/>
          </a:ln>
        </xdr:spPr>
      </xdr:sp>
    </xdr:grpSp>
    <xdr:clientData fLocksWithSheet="0"/>
  </xdr:twoCellAnchor>
  <mc:AlternateContent xmlns:mc="http://schemas.openxmlformats.org/markup-compatibility/2006">
    <mc:Choice xmlns:a14="http://schemas.microsoft.com/office/drawing/2010/main" Requires="a14">
      <xdr:twoCellAnchor editAs="oneCell">
        <xdr:from>
          <xdr:col>4</xdr:col>
          <xdr:colOff>76200</xdr:colOff>
          <xdr:row>6</xdr:row>
          <xdr:rowOff>9525</xdr:rowOff>
        </xdr:from>
        <xdr:to>
          <xdr:col>4</xdr:col>
          <xdr:colOff>1009650</xdr:colOff>
          <xdr:row>6</xdr:row>
          <xdr:rowOff>209550</xdr:rowOff>
        </xdr:to>
        <xdr:sp macro="" textlink="">
          <xdr:nvSpPr>
            <xdr:cNvPr id="50201" name="Drop Down 25" hidden="1">
              <a:extLst>
                <a:ext uri="{63B3BB69-23CF-44E3-9099-C40C66FF867C}">
                  <a14:compatExt spid="_x0000_s50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476250</xdr:colOff>
          <xdr:row>9</xdr:row>
          <xdr:rowOff>47625</xdr:rowOff>
        </xdr:from>
        <xdr:to>
          <xdr:col>5</xdr:col>
          <xdr:colOff>590550</xdr:colOff>
          <xdr:row>10</xdr:row>
          <xdr:rowOff>19050</xdr:rowOff>
        </xdr:to>
        <xdr:sp macro="" textlink="">
          <xdr:nvSpPr>
            <xdr:cNvPr id="50193" name="Drop Down 17" hidden="1">
              <a:extLst>
                <a:ext uri="{63B3BB69-23CF-44E3-9099-C40C66FF867C}">
                  <a14:compatExt spid="_x0000_s50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95250</xdr:colOff>
          <xdr:row>2</xdr:row>
          <xdr:rowOff>57150</xdr:rowOff>
        </xdr:from>
        <xdr:to>
          <xdr:col>6</xdr:col>
          <xdr:colOff>561975</xdr:colOff>
          <xdr:row>3</xdr:row>
          <xdr:rowOff>114300</xdr:rowOff>
        </xdr:to>
        <xdr:grpSp>
          <xdr:nvGrpSpPr>
            <xdr:cNvPr id="50187" name="Group 11"/>
            <xdr:cNvGrpSpPr>
              <a:grpSpLocks/>
            </xdr:cNvGrpSpPr>
          </xdr:nvGrpSpPr>
          <xdr:grpSpPr bwMode="auto">
            <a:xfrm>
              <a:off x="4733925" y="419100"/>
              <a:ext cx="1076325" cy="257175"/>
              <a:chOff x="7" y="41"/>
              <a:chExt cx="113" cy="28"/>
            </a:xfrm>
          </xdr:grpSpPr>
          <xdr:sp macro="" textlink="">
            <xdr:nvSpPr>
              <xdr:cNvPr id="50188" name="Option Button 12" hidden="1">
                <a:extLst>
                  <a:ext uri="{63B3BB69-23CF-44E3-9099-C40C66FF867C}">
                    <a14:compatExt spid="_x0000_s50188"/>
                  </a:ext>
                </a:extLst>
              </xdr:cNvPr>
              <xdr:cNvSpPr/>
            </xdr:nvSpPr>
            <xdr:spPr>
              <a:xfrm>
                <a:off x="11" y="46"/>
                <a:ext cx="46"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a:t>
                </a:r>
              </a:p>
            </xdr:txBody>
          </xdr:sp>
          <xdr:sp macro="" textlink="">
            <xdr:nvSpPr>
              <xdr:cNvPr id="50189" name="Option Button 13" hidden="1">
                <a:extLst>
                  <a:ext uri="{63B3BB69-23CF-44E3-9099-C40C66FF867C}">
                    <a14:compatExt spid="_x0000_s50189"/>
                  </a:ext>
                </a:extLst>
              </xdr:cNvPr>
              <xdr:cNvSpPr/>
            </xdr:nvSpPr>
            <xdr:spPr>
              <a:xfrm>
                <a:off x="55" y="46"/>
                <a:ext cx="57"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Metric</a:t>
                </a:r>
              </a:p>
            </xdr:txBody>
          </xdr:sp>
          <xdr:sp macro="" textlink="">
            <xdr:nvSpPr>
              <xdr:cNvPr id="50190" name="Group Box 14" hidden="1">
                <a:extLst>
                  <a:ext uri="{63B3BB69-23CF-44E3-9099-C40C66FF867C}">
                    <a14:compatExt spid="_x0000_s50190"/>
                  </a:ext>
                </a:extLst>
              </xdr:cNvPr>
              <xdr:cNvSpPr/>
            </xdr:nvSpPr>
            <xdr:spPr>
              <a:xfrm>
                <a:off x="7" y="41"/>
                <a:ext cx="113" cy="28"/>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Measurement Units</a:t>
                </a:r>
              </a:p>
            </xdr:txBody>
          </xdr:sp>
        </xdr:grpSp>
        <xdr:clientData fLocksWithSheet="0"/>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0</xdr:col>
      <xdr:colOff>638175</xdr:colOff>
      <xdr:row>16</xdr:row>
      <xdr:rowOff>38100</xdr:rowOff>
    </xdr:from>
    <xdr:to>
      <xdr:col>1</xdr:col>
      <xdr:colOff>3181350</xdr:colOff>
      <xdr:row>18</xdr:row>
      <xdr:rowOff>38100</xdr:rowOff>
    </xdr:to>
    <xdr:sp macro="" textlink="">
      <xdr:nvSpPr>
        <xdr:cNvPr id="18487" name="Text Box 55"/>
        <xdr:cNvSpPr txBox="1">
          <a:spLocks noChangeArrowheads="1"/>
        </xdr:cNvSpPr>
      </xdr:nvSpPr>
      <xdr:spPr bwMode="auto">
        <a:xfrm>
          <a:off x="638175" y="2705100"/>
          <a:ext cx="3505200" cy="285750"/>
        </a:xfrm>
        <a:prstGeom prst="rect">
          <a:avLst/>
        </a:prstGeom>
        <a:solidFill>
          <a:srgbClr val="FFFF00"/>
        </a:solidFill>
        <a:ln w="9525">
          <a:noFill/>
          <a:miter lim="800000"/>
          <a:headEnd/>
          <a:tailEnd/>
        </a:ln>
      </xdr:spPr>
      <xdr:txBody>
        <a:bodyPr vertOverflow="clip" wrap="square" lIns="54864" tIns="22860" rIns="0" bIns="22860" anchor="ctr" upright="1"/>
        <a:lstStyle/>
        <a:p>
          <a:pPr algn="l" rtl="0">
            <a:defRPr sz="1000"/>
          </a:pPr>
          <a:r>
            <a:rPr lang="en-GB" sz="1000" b="1" i="0" u="none" strike="noStrike" baseline="0">
              <a:solidFill>
                <a:srgbClr val="000000"/>
              </a:solidFill>
              <a:latin typeface="Wingdings"/>
            </a:rPr>
            <a:t>è</a:t>
          </a:r>
        </a:p>
      </xdr:txBody>
    </xdr:sp>
    <xdr:clientData/>
  </xdr:twoCellAnchor>
  <xdr:twoCellAnchor>
    <xdr:from>
      <xdr:col>0</xdr:col>
      <xdr:colOff>657225</xdr:colOff>
      <xdr:row>25</xdr:row>
      <xdr:rowOff>28575</xdr:rowOff>
    </xdr:from>
    <xdr:to>
      <xdr:col>1</xdr:col>
      <xdr:colOff>3181350</xdr:colOff>
      <xdr:row>27</xdr:row>
      <xdr:rowOff>38100</xdr:rowOff>
    </xdr:to>
    <xdr:sp macro="" textlink="">
      <xdr:nvSpPr>
        <xdr:cNvPr id="18486" name="Text Box 54"/>
        <xdr:cNvSpPr txBox="1">
          <a:spLocks noChangeArrowheads="1"/>
        </xdr:cNvSpPr>
      </xdr:nvSpPr>
      <xdr:spPr bwMode="auto">
        <a:xfrm>
          <a:off x="657225" y="4114800"/>
          <a:ext cx="3486150" cy="285750"/>
        </a:xfrm>
        <a:prstGeom prst="rect">
          <a:avLst/>
        </a:prstGeom>
        <a:solidFill>
          <a:srgbClr val="FFFF00"/>
        </a:solidFill>
        <a:ln w="9525">
          <a:noFill/>
          <a:miter lim="800000"/>
          <a:headEnd/>
          <a:tailEnd/>
        </a:ln>
      </xdr:spPr>
      <xdr:txBody>
        <a:bodyPr vertOverflow="clip" wrap="square" lIns="54864" tIns="22860" rIns="0" bIns="22860" anchor="ctr" upright="1"/>
        <a:lstStyle/>
        <a:p>
          <a:pPr algn="l" rtl="0">
            <a:defRPr sz="1000"/>
          </a:pPr>
          <a:r>
            <a:rPr lang="en-GB" sz="1000" b="1" i="0" u="none" strike="noStrike" baseline="0">
              <a:solidFill>
                <a:srgbClr val="000000"/>
              </a:solidFill>
              <a:latin typeface="Wingdings"/>
            </a:rPr>
            <a:t>è</a:t>
          </a:r>
        </a:p>
      </xdr:txBody>
    </xdr:sp>
    <xdr:clientData/>
  </xdr:twoCellAnchor>
  <xdr:twoCellAnchor editAs="absolute">
    <xdr:from>
      <xdr:col>1</xdr:col>
      <xdr:colOff>9525</xdr:colOff>
      <xdr:row>1</xdr:row>
      <xdr:rowOff>142875</xdr:rowOff>
    </xdr:from>
    <xdr:to>
      <xdr:col>1</xdr:col>
      <xdr:colOff>1257300</xdr:colOff>
      <xdr:row>5</xdr:row>
      <xdr:rowOff>28575</xdr:rowOff>
    </xdr:to>
    <xdr:grpSp>
      <xdr:nvGrpSpPr>
        <xdr:cNvPr id="18589" name="Group 31"/>
        <xdr:cNvGrpSpPr>
          <a:grpSpLocks/>
        </xdr:cNvGrpSpPr>
      </xdr:nvGrpSpPr>
      <xdr:grpSpPr bwMode="auto">
        <a:xfrm>
          <a:off x="971550" y="304800"/>
          <a:ext cx="1247775" cy="533400"/>
          <a:chOff x="871" y="339"/>
          <a:chExt cx="131" cy="56"/>
        </a:xfrm>
      </xdr:grpSpPr>
      <xdr:sp macro="" textlink="">
        <xdr:nvSpPr>
          <xdr:cNvPr id="18607" name="Rectangle 30"/>
          <xdr:cNvSpPr>
            <a:spLocks noChangeArrowheads="1"/>
          </xdr:cNvSpPr>
        </xdr:nvSpPr>
        <xdr:spPr bwMode="auto">
          <a:xfrm>
            <a:off x="871" y="339"/>
            <a:ext cx="131" cy="56"/>
          </a:xfrm>
          <a:prstGeom prst="rect">
            <a:avLst/>
          </a:prstGeom>
          <a:solidFill>
            <a:srgbClr val="FFFF99"/>
          </a:solidFill>
          <a:ln w="9525">
            <a:solidFill>
              <a:srgbClr val="000000"/>
            </a:solidFill>
            <a:miter lim="800000"/>
            <a:headEnd/>
            <a:tailEnd/>
          </a:ln>
        </xdr:spPr>
      </xdr:sp>
    </xdr:grpSp>
    <xdr:clientData fPrintsWithSheet="0"/>
  </xdr:twoCellAnchor>
  <xdr:twoCellAnchor editAs="oneCell">
    <xdr:from>
      <xdr:col>1</xdr:col>
      <xdr:colOff>142875</xdr:colOff>
      <xdr:row>20</xdr:row>
      <xdr:rowOff>123825</xdr:rowOff>
    </xdr:from>
    <xdr:to>
      <xdr:col>1</xdr:col>
      <xdr:colOff>2886075</xdr:colOff>
      <xdr:row>23</xdr:row>
      <xdr:rowOff>104775</xdr:rowOff>
    </xdr:to>
    <xdr:pic>
      <xdr:nvPicPr>
        <xdr:cNvPr id="18590" name="Picture 17"/>
        <xdr:cNvPicPr>
          <a:picLocks noChangeAspect="1" noChangeArrowheads="1"/>
        </xdr:cNvPicPr>
      </xdr:nvPicPr>
      <xdr:blipFill>
        <a:blip xmlns:r="http://schemas.openxmlformats.org/officeDocument/2006/relationships" r:embed="rId1" cstate="print"/>
        <a:srcRect/>
        <a:stretch>
          <a:fillRect/>
        </a:stretch>
      </xdr:blipFill>
      <xdr:spPr bwMode="auto">
        <a:xfrm>
          <a:off x="1104900" y="3400425"/>
          <a:ext cx="2743200" cy="466725"/>
        </a:xfrm>
        <a:prstGeom prst="rect">
          <a:avLst/>
        </a:prstGeom>
        <a:noFill/>
        <a:ln w="9525">
          <a:noFill/>
          <a:miter lim="800000"/>
          <a:headEnd/>
          <a:tailEnd/>
        </a:ln>
      </xdr:spPr>
    </xdr:pic>
    <xdr:clientData/>
  </xdr:twoCellAnchor>
  <xdr:twoCellAnchor>
    <xdr:from>
      <xdr:col>0</xdr:col>
      <xdr:colOff>590550</xdr:colOff>
      <xdr:row>9</xdr:row>
      <xdr:rowOff>66675</xdr:rowOff>
    </xdr:from>
    <xdr:to>
      <xdr:col>5</xdr:col>
      <xdr:colOff>0</xdr:colOff>
      <xdr:row>19</xdr:row>
      <xdr:rowOff>9525</xdr:rowOff>
    </xdr:to>
    <xdr:sp macro="" textlink="">
      <xdr:nvSpPr>
        <xdr:cNvPr id="18591" name="Rectangle 24"/>
        <xdr:cNvSpPr>
          <a:spLocks noChangeArrowheads="1"/>
        </xdr:cNvSpPr>
      </xdr:nvSpPr>
      <xdr:spPr bwMode="auto">
        <a:xfrm>
          <a:off x="590550" y="1524000"/>
          <a:ext cx="6962775" cy="1600200"/>
        </a:xfrm>
        <a:prstGeom prst="rect">
          <a:avLst/>
        </a:prstGeom>
        <a:noFill/>
        <a:ln w="38100">
          <a:solidFill>
            <a:srgbClr val="000000"/>
          </a:solidFill>
          <a:miter lim="800000"/>
          <a:headEnd/>
          <a:tailEnd/>
        </a:ln>
      </xdr:spPr>
    </xdr:sp>
    <xdr:clientData/>
  </xdr:twoCellAnchor>
  <xdr:twoCellAnchor>
    <xdr:from>
      <xdr:col>0</xdr:col>
      <xdr:colOff>590550</xdr:colOff>
      <xdr:row>20</xdr:row>
      <xdr:rowOff>19050</xdr:rowOff>
    </xdr:from>
    <xdr:to>
      <xdr:col>5</xdr:col>
      <xdr:colOff>9525</xdr:colOff>
      <xdr:row>28</xdr:row>
      <xdr:rowOff>9525</xdr:rowOff>
    </xdr:to>
    <xdr:sp macro="" textlink="">
      <xdr:nvSpPr>
        <xdr:cNvPr id="18592" name="Rectangle 25"/>
        <xdr:cNvSpPr>
          <a:spLocks noChangeArrowheads="1"/>
        </xdr:cNvSpPr>
      </xdr:nvSpPr>
      <xdr:spPr bwMode="auto">
        <a:xfrm>
          <a:off x="590550" y="3295650"/>
          <a:ext cx="6972300" cy="1238250"/>
        </a:xfrm>
        <a:prstGeom prst="rect">
          <a:avLst/>
        </a:prstGeom>
        <a:noFill/>
        <a:ln w="38100">
          <a:solidFill>
            <a:srgbClr val="000000"/>
          </a:solidFill>
          <a:miter lim="800000"/>
          <a:headEnd/>
          <a:tailEnd/>
        </a:ln>
      </xdr:spPr>
    </xdr:sp>
    <xdr:clientData/>
  </xdr:twoCellAnchor>
  <xdr:twoCellAnchor>
    <xdr:from>
      <xdr:col>1</xdr:col>
      <xdr:colOff>1409700</xdr:colOff>
      <xdr:row>1</xdr:row>
      <xdr:rowOff>95250</xdr:rowOff>
    </xdr:from>
    <xdr:to>
      <xdr:col>2</xdr:col>
      <xdr:colOff>238125</xdr:colOff>
      <xdr:row>7</xdr:row>
      <xdr:rowOff>114300</xdr:rowOff>
    </xdr:to>
    <xdr:sp macro="" textlink="">
      <xdr:nvSpPr>
        <xdr:cNvPr id="18473" name="Text Box 41"/>
        <xdr:cNvSpPr txBox="1">
          <a:spLocks noChangeArrowheads="1"/>
        </xdr:cNvSpPr>
      </xdr:nvSpPr>
      <xdr:spPr bwMode="auto">
        <a:xfrm>
          <a:off x="2371725" y="257175"/>
          <a:ext cx="2019300" cy="9906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FF"/>
              </a:solidFill>
              <a:latin typeface="Arial"/>
              <a:cs typeface="Arial"/>
            </a:rPr>
            <a:t>These are representative values only!</a:t>
          </a:r>
          <a:endParaRPr lang="en-GB" sz="900" b="1" i="0" u="none" strike="noStrike" baseline="0">
            <a:solidFill>
              <a:srgbClr val="000000"/>
            </a:solidFill>
            <a:latin typeface="Arial"/>
            <a:cs typeface="Arial"/>
          </a:endParaRPr>
        </a:p>
        <a:p>
          <a:pPr algn="ctr" rtl="0">
            <a:defRPr sz="1000"/>
          </a:pPr>
          <a:endParaRPr lang="en-GB" sz="900" b="1" i="0" u="none" strike="noStrike" baseline="0">
            <a:solidFill>
              <a:srgbClr val="000000"/>
            </a:solidFill>
            <a:latin typeface="Arial"/>
            <a:cs typeface="Arial"/>
          </a:endParaRPr>
        </a:p>
        <a:p>
          <a:pPr algn="ctr" rtl="0">
            <a:defRPr sz="1000"/>
          </a:pPr>
          <a:r>
            <a:rPr lang="en-GB" sz="900" b="1" i="0" u="none" strike="noStrike" baseline="0">
              <a:solidFill>
                <a:srgbClr val="FF0000"/>
              </a:solidFill>
              <a:latin typeface="Arial"/>
              <a:cs typeface="Arial"/>
            </a:rPr>
            <a:t>ALWAYS check the tag of the sling</a:t>
          </a:r>
        </a:p>
        <a:p>
          <a:pPr algn="ctr" rtl="0">
            <a:defRPr sz="1000"/>
          </a:pPr>
          <a:r>
            <a:rPr lang="en-GB" sz="900" b="1" i="0" u="none" strike="noStrike" baseline="0">
              <a:solidFill>
                <a:srgbClr val="FF0000"/>
              </a:solidFill>
              <a:latin typeface="Arial"/>
              <a:cs typeface="Arial"/>
            </a:rPr>
            <a:t>BEFORE USING to verify the actual</a:t>
          </a:r>
        </a:p>
        <a:p>
          <a:pPr algn="ctr" rtl="0">
            <a:defRPr sz="1000"/>
          </a:pPr>
          <a:r>
            <a:rPr lang="en-GB" sz="900" b="1" i="0" u="none" strike="noStrike" baseline="0">
              <a:solidFill>
                <a:srgbClr val="FF0000"/>
              </a:solidFill>
              <a:latin typeface="Arial"/>
              <a:cs typeface="Arial"/>
            </a:rPr>
            <a:t>Working Load Limit of the sling!</a:t>
          </a:r>
        </a:p>
      </xdr:txBody>
    </xdr:sp>
    <xdr:clientData/>
  </xdr:twoCellAnchor>
  <xdr:twoCellAnchor editAs="oneCell">
    <xdr:from>
      <xdr:col>1</xdr:col>
      <xdr:colOff>133350</xdr:colOff>
      <xdr:row>9</xdr:row>
      <xdr:rowOff>95250</xdr:rowOff>
    </xdr:from>
    <xdr:to>
      <xdr:col>1</xdr:col>
      <xdr:colOff>3067050</xdr:colOff>
      <xdr:row>14</xdr:row>
      <xdr:rowOff>152400</xdr:rowOff>
    </xdr:to>
    <xdr:pic>
      <xdr:nvPicPr>
        <xdr:cNvPr id="18594" name="Picture 43"/>
        <xdr:cNvPicPr>
          <a:picLocks noChangeAspect="1" noChangeArrowheads="1"/>
        </xdr:cNvPicPr>
      </xdr:nvPicPr>
      <xdr:blipFill>
        <a:blip xmlns:r="http://schemas.openxmlformats.org/officeDocument/2006/relationships" r:embed="rId2" cstate="print"/>
        <a:srcRect/>
        <a:stretch>
          <a:fillRect/>
        </a:stretch>
      </xdr:blipFill>
      <xdr:spPr bwMode="auto">
        <a:xfrm>
          <a:off x="1095375" y="1552575"/>
          <a:ext cx="2933700" cy="866775"/>
        </a:xfrm>
        <a:prstGeom prst="rect">
          <a:avLst/>
        </a:prstGeom>
        <a:noFill/>
        <a:ln w="9525">
          <a:noFill/>
          <a:miter lim="800000"/>
          <a:headEnd/>
          <a:tailEnd/>
        </a:ln>
      </xdr:spPr>
    </xdr:pic>
    <xdr:clientData/>
  </xdr:twoCellAnchor>
  <xdr:twoCellAnchor>
    <xdr:from>
      <xdr:col>2</xdr:col>
      <xdr:colOff>180975</xdr:colOff>
      <xdr:row>29</xdr:row>
      <xdr:rowOff>0</xdr:rowOff>
    </xdr:from>
    <xdr:to>
      <xdr:col>4</xdr:col>
      <xdr:colOff>1133475</xdr:colOff>
      <xdr:row>29</xdr:row>
      <xdr:rowOff>0</xdr:rowOff>
    </xdr:to>
    <xdr:sp macro="" textlink="">
      <xdr:nvSpPr>
        <xdr:cNvPr id="18481" name="Text Box 49"/>
        <xdr:cNvSpPr txBox="1">
          <a:spLocks noChangeArrowheads="1"/>
        </xdr:cNvSpPr>
      </xdr:nvSpPr>
      <xdr:spPr bwMode="auto">
        <a:xfrm>
          <a:off x="4333875" y="4686300"/>
          <a:ext cx="312420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GB" sz="900" b="1" i="0" u="none" strike="noStrike" baseline="0">
              <a:solidFill>
                <a:srgbClr val="000000"/>
              </a:solidFill>
              <a:latin typeface="Arial"/>
              <a:cs typeface="Arial"/>
            </a:rPr>
            <a:t>Basket Hitch capacity is based on:</a:t>
          </a:r>
        </a:p>
        <a:p>
          <a:pPr algn="l" rtl="0">
            <a:defRPr sz="1000"/>
          </a:pPr>
          <a:r>
            <a:rPr lang="en-GB" sz="900" b="0" i="0" u="none" strike="noStrike" baseline="0">
              <a:solidFill>
                <a:srgbClr val="000000"/>
              </a:solidFill>
              <a:latin typeface="Arial"/>
              <a:cs typeface="Arial"/>
            </a:rPr>
            <a:t>D/d ratio is 20:1 AND sling legs within 5° of vertical</a:t>
          </a:r>
        </a:p>
        <a:p>
          <a:pPr algn="l" rtl="0">
            <a:defRPr sz="1000"/>
          </a:pPr>
          <a:r>
            <a:rPr lang="en-GB" sz="900" b="1" i="0" u="none" strike="noStrike" baseline="0">
              <a:solidFill>
                <a:srgbClr val="000000"/>
              </a:solidFill>
              <a:latin typeface="Arial"/>
              <a:cs typeface="Arial"/>
            </a:rPr>
            <a:t>Minimum Pin Diameter: </a:t>
          </a:r>
          <a:endParaRPr lang="en-GB" sz="900" b="0" i="0" u="none" strike="noStrike" baseline="0">
            <a:solidFill>
              <a:srgbClr val="000000"/>
            </a:solidFill>
            <a:latin typeface="Arial"/>
            <a:cs typeface="Arial"/>
          </a:endParaRPr>
        </a:p>
        <a:p>
          <a:pPr algn="l" rtl="0">
            <a:defRPr sz="1000"/>
          </a:pPr>
          <a:r>
            <a:rPr lang="en-GB" sz="900" b="1" i="0" u="none" strike="noStrike" baseline="0">
              <a:solidFill>
                <a:srgbClr val="FF0000"/>
              </a:solidFill>
              <a:latin typeface="Arial"/>
              <a:cs typeface="Arial"/>
            </a:rPr>
            <a:t>Never</a:t>
          </a:r>
          <a:r>
            <a:rPr lang="en-GB" sz="900" b="0" i="0" u="none" strike="noStrike" baseline="0">
              <a:solidFill>
                <a:srgbClr val="000000"/>
              </a:solidFill>
              <a:latin typeface="Arial"/>
              <a:cs typeface="Arial"/>
            </a:rPr>
            <a:t> smaller than the sling diameter.</a:t>
          </a:r>
          <a:endParaRPr lang="en-GB" sz="900" b="1" i="0" u="none" strike="noStrike" baseline="0">
            <a:solidFill>
              <a:srgbClr val="000000"/>
            </a:solidFill>
            <a:latin typeface="Arial"/>
            <a:cs typeface="Arial"/>
          </a:endParaRPr>
        </a:p>
        <a:p>
          <a:pPr algn="l" rtl="0">
            <a:defRPr sz="1000"/>
          </a:pPr>
          <a:endParaRPr lang="en-GB" sz="900" b="1" i="0" u="none" strike="noStrike" baseline="0">
            <a:solidFill>
              <a:srgbClr val="000000"/>
            </a:solidFill>
            <a:latin typeface="Arial"/>
            <a:cs typeface="Arial"/>
          </a:endParaRPr>
        </a:p>
      </xdr:txBody>
    </xdr:sp>
    <xdr:clientData/>
  </xdr:twoCellAnchor>
  <xdr:twoCellAnchor editAs="oneCell">
    <xdr:from>
      <xdr:col>2</xdr:col>
      <xdr:colOff>361950</xdr:colOff>
      <xdr:row>1</xdr:row>
      <xdr:rowOff>28575</xdr:rowOff>
    </xdr:from>
    <xdr:to>
      <xdr:col>2</xdr:col>
      <xdr:colOff>742950</xdr:colOff>
      <xdr:row>8</xdr:row>
      <xdr:rowOff>95250</xdr:rowOff>
    </xdr:to>
    <xdr:pic>
      <xdr:nvPicPr>
        <xdr:cNvPr id="18596" name="Picture 51"/>
        <xdr:cNvPicPr>
          <a:picLocks noChangeAspect="1" noChangeArrowheads="1"/>
        </xdr:cNvPicPr>
      </xdr:nvPicPr>
      <xdr:blipFill>
        <a:blip xmlns:r="http://schemas.openxmlformats.org/officeDocument/2006/relationships" r:embed="rId3" cstate="print"/>
        <a:srcRect/>
        <a:stretch>
          <a:fillRect/>
        </a:stretch>
      </xdr:blipFill>
      <xdr:spPr bwMode="auto">
        <a:xfrm>
          <a:off x="4514850" y="190500"/>
          <a:ext cx="381000" cy="1200150"/>
        </a:xfrm>
        <a:prstGeom prst="rect">
          <a:avLst/>
        </a:prstGeom>
        <a:noFill/>
        <a:ln w="9525">
          <a:noFill/>
          <a:miter lim="800000"/>
          <a:headEnd/>
          <a:tailEnd/>
        </a:ln>
      </xdr:spPr>
    </xdr:pic>
    <xdr:clientData/>
  </xdr:twoCellAnchor>
  <xdr:twoCellAnchor editAs="oneCell">
    <xdr:from>
      <xdr:col>3</xdr:col>
      <xdr:colOff>104775</xdr:colOff>
      <xdr:row>1</xdr:row>
      <xdr:rowOff>28575</xdr:rowOff>
    </xdr:from>
    <xdr:to>
      <xdr:col>3</xdr:col>
      <xdr:colOff>866775</xdr:colOff>
      <xdr:row>8</xdr:row>
      <xdr:rowOff>104775</xdr:rowOff>
    </xdr:to>
    <xdr:pic>
      <xdr:nvPicPr>
        <xdr:cNvPr id="18597" name="Picture 52"/>
        <xdr:cNvPicPr>
          <a:picLocks noChangeAspect="1" noChangeArrowheads="1"/>
        </xdr:cNvPicPr>
      </xdr:nvPicPr>
      <xdr:blipFill>
        <a:blip xmlns:r="http://schemas.openxmlformats.org/officeDocument/2006/relationships" r:embed="rId4" cstate="print"/>
        <a:srcRect/>
        <a:stretch>
          <a:fillRect/>
        </a:stretch>
      </xdr:blipFill>
      <xdr:spPr bwMode="auto">
        <a:xfrm>
          <a:off x="5353050" y="190500"/>
          <a:ext cx="762000" cy="1209675"/>
        </a:xfrm>
        <a:prstGeom prst="rect">
          <a:avLst/>
        </a:prstGeom>
        <a:noFill/>
        <a:ln w="9525">
          <a:noFill/>
          <a:miter lim="800000"/>
          <a:headEnd/>
          <a:tailEnd/>
        </a:ln>
      </xdr:spPr>
    </xdr:pic>
    <xdr:clientData/>
  </xdr:twoCellAnchor>
  <xdr:twoCellAnchor editAs="oneCell">
    <xdr:from>
      <xdr:col>4</xdr:col>
      <xdr:colOff>200025</xdr:colOff>
      <xdr:row>1</xdr:row>
      <xdr:rowOff>57150</xdr:rowOff>
    </xdr:from>
    <xdr:to>
      <xdr:col>4</xdr:col>
      <xdr:colOff>1019175</xdr:colOff>
      <xdr:row>7</xdr:row>
      <xdr:rowOff>123825</xdr:rowOff>
    </xdr:to>
    <xdr:pic>
      <xdr:nvPicPr>
        <xdr:cNvPr id="18598" name="Picture 53"/>
        <xdr:cNvPicPr>
          <a:picLocks noChangeAspect="1" noChangeArrowheads="1"/>
        </xdr:cNvPicPr>
      </xdr:nvPicPr>
      <xdr:blipFill>
        <a:blip xmlns:r="http://schemas.openxmlformats.org/officeDocument/2006/relationships" r:embed="rId5" cstate="print"/>
        <a:srcRect/>
        <a:stretch>
          <a:fillRect/>
        </a:stretch>
      </xdr:blipFill>
      <xdr:spPr bwMode="auto">
        <a:xfrm>
          <a:off x="6524625" y="219075"/>
          <a:ext cx="819150" cy="1038225"/>
        </a:xfrm>
        <a:prstGeom prst="rect">
          <a:avLst/>
        </a:prstGeom>
        <a:noFill/>
        <a:ln w="9525">
          <a:noFill/>
          <a:miter lim="800000"/>
          <a:headEnd/>
          <a:tailEnd/>
        </a:ln>
      </xdr:spPr>
    </xdr:pic>
    <xdr:clientData/>
  </xdr:twoCellAnchor>
  <xdr:twoCellAnchor editAs="absolute">
    <xdr:from>
      <xdr:col>0</xdr:col>
      <xdr:colOff>47625</xdr:colOff>
      <xdr:row>0</xdr:row>
      <xdr:rowOff>66675</xdr:rowOff>
    </xdr:from>
    <xdr:to>
      <xdr:col>0</xdr:col>
      <xdr:colOff>942975</xdr:colOff>
      <xdr:row>1</xdr:row>
      <xdr:rowOff>133350</xdr:rowOff>
    </xdr:to>
    <xdr:pic>
      <xdr:nvPicPr>
        <xdr:cNvPr id="18599" name="Picture 61">
          <a:hlinkClick xmlns:r="http://schemas.openxmlformats.org/officeDocument/2006/relationships" r:id="rId6" tooltip="Return to Main Menu"/>
        </xdr:cNvPr>
        <xdr:cNvPicPr>
          <a:picLocks noChangeAspect="1" noChangeArrowheads="1"/>
        </xdr:cNvPicPr>
      </xdr:nvPicPr>
      <xdr:blipFill>
        <a:blip xmlns:r="http://schemas.openxmlformats.org/officeDocument/2006/relationships" r:embed="rId7" cstate="print"/>
        <a:srcRect/>
        <a:stretch>
          <a:fillRect/>
        </a:stretch>
      </xdr:blipFill>
      <xdr:spPr bwMode="auto">
        <a:xfrm>
          <a:off x="47625" y="6667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1</xdr:row>
      <xdr:rowOff>142875</xdr:rowOff>
    </xdr:from>
    <xdr:to>
      <xdr:col>0</xdr:col>
      <xdr:colOff>942975</xdr:colOff>
      <xdr:row>3</xdr:row>
      <xdr:rowOff>47625</xdr:rowOff>
    </xdr:to>
    <xdr:pic>
      <xdr:nvPicPr>
        <xdr:cNvPr id="18600" name="Picture 62">
          <a:hlinkClick xmlns:r="http://schemas.openxmlformats.org/officeDocument/2006/relationships" r:id="rId8" tooltip="Go To Master Index"/>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304800"/>
          <a:ext cx="895350" cy="228600"/>
        </a:xfrm>
        <a:prstGeom prst="rect">
          <a:avLst/>
        </a:prstGeom>
        <a:noFill/>
        <a:ln w="9525">
          <a:noFill/>
          <a:miter lim="800000"/>
          <a:headEnd/>
          <a:tailEnd/>
        </a:ln>
      </xdr:spPr>
    </xdr:pic>
    <xdr:clientData fPrintsWithSheet="0"/>
  </xdr:twoCellAnchor>
  <xdr:twoCellAnchor editAs="absolute">
    <xdr:from>
      <xdr:col>0</xdr:col>
      <xdr:colOff>47625</xdr:colOff>
      <xdr:row>3</xdr:row>
      <xdr:rowOff>76200</xdr:rowOff>
    </xdr:from>
    <xdr:to>
      <xdr:col>0</xdr:col>
      <xdr:colOff>942975</xdr:colOff>
      <xdr:row>4</xdr:row>
      <xdr:rowOff>142875</xdr:rowOff>
    </xdr:to>
    <xdr:pic>
      <xdr:nvPicPr>
        <xdr:cNvPr id="18601" name="Picture 63">
          <a:hlinkClick xmlns:r="http://schemas.openxmlformats.org/officeDocument/2006/relationships" r:id="rId10" tooltip="Go To Weights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47625" y="56197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4</xdr:row>
      <xdr:rowOff>142875</xdr:rowOff>
    </xdr:from>
    <xdr:to>
      <xdr:col>0</xdr:col>
      <xdr:colOff>942975</xdr:colOff>
      <xdr:row>6</xdr:row>
      <xdr:rowOff>47625</xdr:rowOff>
    </xdr:to>
    <xdr:pic>
      <xdr:nvPicPr>
        <xdr:cNvPr id="18602" name="Picture 64">
          <a:hlinkClick xmlns:r="http://schemas.openxmlformats.org/officeDocument/2006/relationships" r:id="rId12" tooltip="Go To Tensions Menu"/>
        </xdr:cNvPr>
        <xdr:cNvPicPr>
          <a:picLocks noChangeAspect="1" noChangeArrowheads="1"/>
        </xdr:cNvPicPr>
      </xdr:nvPicPr>
      <xdr:blipFill>
        <a:blip xmlns:r="http://schemas.openxmlformats.org/officeDocument/2006/relationships" r:embed="rId13" cstate="print"/>
        <a:srcRect/>
        <a:stretch>
          <a:fillRect/>
        </a:stretch>
      </xdr:blipFill>
      <xdr:spPr bwMode="auto">
        <a:xfrm>
          <a:off x="47625" y="79057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6</xdr:row>
      <xdr:rowOff>47625</xdr:rowOff>
    </xdr:from>
    <xdr:to>
      <xdr:col>0</xdr:col>
      <xdr:colOff>942975</xdr:colOff>
      <xdr:row>7</xdr:row>
      <xdr:rowOff>114300</xdr:rowOff>
    </xdr:to>
    <xdr:pic>
      <xdr:nvPicPr>
        <xdr:cNvPr id="18603" name="Picture 65">
          <a:hlinkClick xmlns:r="http://schemas.openxmlformats.org/officeDocument/2006/relationships" r:id="rId14" tooltip="Go To Equipment Menu"/>
        </xdr:cNvPr>
        <xdr:cNvPicPr>
          <a:picLocks noChangeAspect="1" noChangeArrowheads="1"/>
        </xdr:cNvPicPr>
      </xdr:nvPicPr>
      <xdr:blipFill>
        <a:blip xmlns:r="http://schemas.openxmlformats.org/officeDocument/2006/relationships" r:embed="rId15" cstate="print"/>
        <a:srcRect/>
        <a:stretch>
          <a:fillRect/>
        </a:stretch>
      </xdr:blipFill>
      <xdr:spPr bwMode="auto">
        <a:xfrm>
          <a:off x="47625" y="1019175"/>
          <a:ext cx="895350" cy="228600"/>
        </a:xfrm>
        <a:prstGeom prst="rect">
          <a:avLst/>
        </a:prstGeom>
        <a:noFill/>
        <a:ln w="9525">
          <a:noFill/>
          <a:miter lim="800000"/>
          <a:headEnd/>
          <a:tailEnd/>
        </a:ln>
      </xdr:spPr>
    </xdr:pic>
    <xdr:clientData fPrintsWithSheet="0"/>
  </xdr:twoCellAnchor>
  <xdr:twoCellAnchor editAs="absolute">
    <xdr:from>
      <xdr:col>0</xdr:col>
      <xdr:colOff>104775</xdr:colOff>
      <xdr:row>7</xdr:row>
      <xdr:rowOff>142875</xdr:rowOff>
    </xdr:from>
    <xdr:to>
      <xdr:col>0</xdr:col>
      <xdr:colOff>333375</xdr:colOff>
      <xdr:row>9</xdr:row>
      <xdr:rowOff>47625</xdr:rowOff>
    </xdr:to>
    <xdr:pic>
      <xdr:nvPicPr>
        <xdr:cNvPr id="18604" name="Picture 66" descr="Code Information">
          <a:hlinkClick xmlns:r="http://schemas.openxmlformats.org/officeDocument/2006/relationships" r:id="rId16" tooltip="Code Information"/>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04775" y="1276350"/>
          <a:ext cx="228600" cy="228600"/>
        </a:xfrm>
        <a:prstGeom prst="rect">
          <a:avLst/>
        </a:prstGeom>
        <a:noFill/>
        <a:ln w="9525">
          <a:noFill/>
          <a:miter lim="800000"/>
          <a:headEnd/>
          <a:tailEnd/>
        </a:ln>
      </xdr:spPr>
    </xdr:pic>
    <xdr:clientData fPrintsWithSheet="0"/>
  </xdr:twoCellAnchor>
  <xdr:twoCellAnchor editAs="absolute">
    <xdr:from>
      <xdr:col>0</xdr:col>
      <xdr:colOff>361950</xdr:colOff>
      <xdr:row>7</xdr:row>
      <xdr:rowOff>142875</xdr:rowOff>
    </xdr:from>
    <xdr:to>
      <xdr:col>0</xdr:col>
      <xdr:colOff>590550</xdr:colOff>
      <xdr:row>9</xdr:row>
      <xdr:rowOff>47625</xdr:rowOff>
    </xdr:to>
    <xdr:pic>
      <xdr:nvPicPr>
        <xdr:cNvPr id="18605" name="Picture 67" descr="help">
          <a:hlinkClick xmlns:r="http://schemas.openxmlformats.org/officeDocument/2006/relationships" r:id="rId18" tooltip="Help"/>
        </xdr:cNvPr>
        <xdr:cNvPicPr>
          <a:picLocks noChangeAspect="1" noChangeArrowheads="1"/>
        </xdr:cNvPicPr>
      </xdr:nvPicPr>
      <xdr:blipFill>
        <a:blip xmlns:r="http://schemas.openxmlformats.org/officeDocument/2006/relationships" r:embed="rId19" cstate="print"/>
        <a:srcRect/>
        <a:stretch>
          <a:fillRect/>
        </a:stretch>
      </xdr:blipFill>
      <xdr:spPr bwMode="auto">
        <a:xfrm>
          <a:off x="361950" y="1276350"/>
          <a:ext cx="228600" cy="228600"/>
        </a:xfrm>
        <a:prstGeom prst="rect">
          <a:avLst/>
        </a:prstGeom>
        <a:noFill/>
        <a:ln w="9525">
          <a:noFill/>
          <a:miter lim="800000"/>
          <a:headEnd/>
          <a:tailEnd/>
        </a:ln>
      </xdr:spPr>
    </xdr:pic>
    <xdr:clientData fPrintsWithSheet="0"/>
  </xdr:twoCellAnchor>
  <xdr:twoCellAnchor editAs="absolute">
    <xdr:from>
      <xdr:col>0</xdr:col>
      <xdr:colOff>628650</xdr:colOff>
      <xdr:row>7</xdr:row>
      <xdr:rowOff>142875</xdr:rowOff>
    </xdr:from>
    <xdr:to>
      <xdr:col>0</xdr:col>
      <xdr:colOff>857250</xdr:colOff>
      <xdr:row>9</xdr:row>
      <xdr:rowOff>47625</xdr:rowOff>
    </xdr:to>
    <xdr:pic>
      <xdr:nvPicPr>
        <xdr:cNvPr id="18606" name="Picture 68" descr="star">
          <a:hlinkClick xmlns:r="http://schemas.openxmlformats.org/officeDocument/2006/relationships" r:id="rId20" tooltip="Conversions"/>
        </xdr:cNvPr>
        <xdr:cNvPicPr>
          <a:picLocks noChangeAspect="1" noChangeArrowheads="1"/>
        </xdr:cNvPicPr>
      </xdr:nvPicPr>
      <xdr:blipFill>
        <a:blip xmlns:r="http://schemas.openxmlformats.org/officeDocument/2006/relationships" r:embed="rId21" cstate="print"/>
        <a:srcRect/>
        <a:stretch>
          <a:fillRect/>
        </a:stretch>
      </xdr:blipFill>
      <xdr:spPr bwMode="auto">
        <a:xfrm>
          <a:off x="628650" y="1276350"/>
          <a:ext cx="228600" cy="22860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editAs="oneCell">
        <xdr:from>
          <xdr:col>1</xdr:col>
          <xdr:colOff>47625</xdr:colOff>
          <xdr:row>17</xdr:row>
          <xdr:rowOff>0</xdr:rowOff>
        </xdr:from>
        <xdr:to>
          <xdr:col>1</xdr:col>
          <xdr:colOff>3171825</xdr:colOff>
          <xdr:row>17</xdr:row>
          <xdr:rowOff>200025</xdr:rowOff>
        </xdr:to>
        <xdr:sp macro="" textlink="">
          <xdr:nvSpPr>
            <xdr:cNvPr id="18444" name="Drop Down 12" hidden="1">
              <a:extLst>
                <a:ext uri="{63B3BB69-23CF-44E3-9099-C40C66FF867C}">
                  <a14:compatExt spid="_x0000_s184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26</xdr:row>
          <xdr:rowOff>0</xdr:rowOff>
        </xdr:from>
        <xdr:to>
          <xdr:col>1</xdr:col>
          <xdr:colOff>3152775</xdr:colOff>
          <xdr:row>27</xdr:row>
          <xdr:rowOff>0</xdr:rowOff>
        </xdr:to>
        <xdr:sp macro="" textlink="">
          <xdr:nvSpPr>
            <xdr:cNvPr id="18452" name="Drop Down 20" hidden="1">
              <a:extLst>
                <a:ext uri="{63B3BB69-23CF-44E3-9099-C40C66FF867C}">
                  <a14:compatExt spid="_x0000_s184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95250</xdr:colOff>
          <xdr:row>2</xdr:row>
          <xdr:rowOff>123825</xdr:rowOff>
        </xdr:from>
        <xdr:to>
          <xdr:col>1</xdr:col>
          <xdr:colOff>1171575</xdr:colOff>
          <xdr:row>4</xdr:row>
          <xdr:rowOff>66675</xdr:rowOff>
        </xdr:to>
        <xdr:grpSp>
          <xdr:nvGrpSpPr>
            <xdr:cNvPr id="18451" name="Group 19"/>
            <xdr:cNvGrpSpPr>
              <a:grpSpLocks/>
            </xdr:cNvGrpSpPr>
          </xdr:nvGrpSpPr>
          <xdr:grpSpPr bwMode="auto">
            <a:xfrm>
              <a:off x="1057275" y="447675"/>
              <a:ext cx="1076325" cy="266700"/>
              <a:chOff x="181" y="50"/>
              <a:chExt cx="113" cy="28"/>
            </a:xfrm>
          </xdr:grpSpPr>
          <xdr:sp macro="" textlink="">
            <xdr:nvSpPr>
              <xdr:cNvPr id="18446" name="Option Button 14" hidden="1">
                <a:extLst>
                  <a:ext uri="{63B3BB69-23CF-44E3-9099-C40C66FF867C}">
                    <a14:compatExt spid="_x0000_s18446"/>
                  </a:ext>
                </a:extLst>
              </xdr:cNvPr>
              <xdr:cNvSpPr/>
            </xdr:nvSpPr>
            <xdr:spPr>
              <a:xfrm>
                <a:off x="185" y="55"/>
                <a:ext cx="46"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lbs</a:t>
                </a:r>
              </a:p>
            </xdr:txBody>
          </xdr:sp>
          <xdr:grpSp>
            <xdr:nvGrpSpPr>
              <xdr:cNvPr id="18450" name="Group 18"/>
              <xdr:cNvGrpSpPr>
                <a:grpSpLocks/>
              </xdr:cNvGrpSpPr>
            </xdr:nvGrpSpPr>
            <xdr:grpSpPr bwMode="auto">
              <a:xfrm>
                <a:off x="181" y="50"/>
                <a:ext cx="113" cy="28"/>
                <a:chOff x="181" y="50"/>
                <a:chExt cx="113" cy="28"/>
              </a:xfrm>
            </xdr:grpSpPr>
            <xdr:sp macro="" textlink="">
              <xdr:nvSpPr>
                <xdr:cNvPr id="18447" name="Option Button 15" hidden="1">
                  <a:extLst>
                    <a:ext uri="{63B3BB69-23CF-44E3-9099-C40C66FF867C}">
                      <a14:compatExt spid="_x0000_s18447"/>
                    </a:ext>
                  </a:extLst>
                </xdr:cNvPr>
                <xdr:cNvSpPr/>
              </xdr:nvSpPr>
              <xdr:spPr>
                <a:xfrm>
                  <a:off x="229" y="55"/>
                  <a:ext cx="57"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kgs</a:t>
                  </a:r>
                </a:p>
              </xdr:txBody>
            </xdr:sp>
            <xdr:sp macro="" textlink="">
              <xdr:nvSpPr>
                <xdr:cNvPr id="18448" name="Group Box 16" hidden="1">
                  <a:extLst>
                    <a:ext uri="{63B3BB69-23CF-44E3-9099-C40C66FF867C}">
                      <a14:compatExt spid="_x0000_s18448"/>
                    </a:ext>
                  </a:extLst>
                </xdr:cNvPr>
                <xdr:cNvSpPr/>
              </xdr:nvSpPr>
              <xdr:spPr>
                <a:xfrm>
                  <a:off x="181" y="50"/>
                  <a:ext cx="113" cy="28"/>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Show Capacity in:</a:t>
                  </a:r>
                </a:p>
              </xdr:txBody>
            </xdr:sp>
          </xdr:grpSp>
        </xdr:grp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xdr:from>
      <xdr:col>0</xdr:col>
      <xdr:colOff>1019175</xdr:colOff>
      <xdr:row>15</xdr:row>
      <xdr:rowOff>152400</xdr:rowOff>
    </xdr:from>
    <xdr:to>
      <xdr:col>2</xdr:col>
      <xdr:colOff>0</xdr:colOff>
      <xdr:row>17</xdr:row>
      <xdr:rowOff>38100</xdr:rowOff>
    </xdr:to>
    <xdr:sp macro="" textlink="">
      <xdr:nvSpPr>
        <xdr:cNvPr id="59418" name="Text Box 26"/>
        <xdr:cNvSpPr txBox="1">
          <a:spLocks noChangeArrowheads="1"/>
        </xdr:cNvSpPr>
      </xdr:nvSpPr>
      <xdr:spPr bwMode="auto">
        <a:xfrm>
          <a:off x="1019175" y="2619375"/>
          <a:ext cx="3343275" cy="285750"/>
        </a:xfrm>
        <a:prstGeom prst="rect">
          <a:avLst/>
        </a:prstGeom>
        <a:solidFill>
          <a:srgbClr val="FFFF00"/>
        </a:solidFill>
        <a:ln w="9525">
          <a:noFill/>
          <a:miter lim="800000"/>
          <a:headEnd/>
          <a:tailEnd/>
        </a:ln>
      </xdr:spPr>
      <xdr:txBody>
        <a:bodyPr vertOverflow="clip" wrap="square" lIns="54864" tIns="22860" rIns="0" bIns="22860" anchor="ctr" upright="1"/>
        <a:lstStyle/>
        <a:p>
          <a:pPr algn="l" rtl="0">
            <a:defRPr sz="1000"/>
          </a:pPr>
          <a:r>
            <a:rPr lang="en-GB" sz="1000" b="1" i="0" u="none" strike="noStrike" baseline="0">
              <a:solidFill>
                <a:srgbClr val="000000"/>
              </a:solidFill>
              <a:latin typeface="Wingdings"/>
            </a:rPr>
            <a:t>è</a:t>
          </a:r>
        </a:p>
      </xdr:txBody>
    </xdr:sp>
    <xdr:clientData/>
  </xdr:twoCellAnchor>
  <xdr:twoCellAnchor editAs="absolute">
    <xdr:from>
      <xdr:col>0</xdr:col>
      <xdr:colOff>942975</xdr:colOff>
      <xdr:row>1</xdr:row>
      <xdr:rowOff>85725</xdr:rowOff>
    </xdr:from>
    <xdr:to>
      <xdr:col>1</xdr:col>
      <xdr:colOff>1019175</xdr:colOff>
      <xdr:row>4</xdr:row>
      <xdr:rowOff>133350</xdr:rowOff>
    </xdr:to>
    <xdr:grpSp>
      <xdr:nvGrpSpPr>
        <xdr:cNvPr id="59505" name="Group 2"/>
        <xdr:cNvGrpSpPr>
          <a:grpSpLocks/>
        </xdr:cNvGrpSpPr>
      </xdr:nvGrpSpPr>
      <xdr:grpSpPr bwMode="auto">
        <a:xfrm>
          <a:off x="942975" y="247650"/>
          <a:ext cx="1247775" cy="533400"/>
          <a:chOff x="871" y="339"/>
          <a:chExt cx="131" cy="56"/>
        </a:xfrm>
      </xdr:grpSpPr>
      <xdr:sp macro="" textlink="">
        <xdr:nvSpPr>
          <xdr:cNvPr id="59521" name="Rectangle 3"/>
          <xdr:cNvSpPr>
            <a:spLocks noChangeArrowheads="1"/>
          </xdr:cNvSpPr>
        </xdr:nvSpPr>
        <xdr:spPr bwMode="auto">
          <a:xfrm>
            <a:off x="871" y="339"/>
            <a:ext cx="131" cy="56"/>
          </a:xfrm>
          <a:prstGeom prst="rect">
            <a:avLst/>
          </a:prstGeom>
          <a:solidFill>
            <a:srgbClr val="FFFF99"/>
          </a:solidFill>
          <a:ln w="9525">
            <a:solidFill>
              <a:srgbClr val="000000"/>
            </a:solidFill>
            <a:miter lim="800000"/>
            <a:headEnd/>
            <a:tailEnd/>
          </a:ln>
        </xdr:spPr>
      </xdr:sp>
    </xdr:grpSp>
    <xdr:clientData fPrintsWithSheet="0"/>
  </xdr:twoCellAnchor>
  <xdr:twoCellAnchor editAs="oneCell">
    <xdr:from>
      <xdr:col>1</xdr:col>
      <xdr:colOff>66675</xdr:colOff>
      <xdr:row>10</xdr:row>
      <xdr:rowOff>9525</xdr:rowOff>
    </xdr:from>
    <xdr:to>
      <xdr:col>1</xdr:col>
      <xdr:colOff>3038475</xdr:colOff>
      <xdr:row>13</xdr:row>
      <xdr:rowOff>76200</xdr:rowOff>
    </xdr:to>
    <xdr:pic>
      <xdr:nvPicPr>
        <xdr:cNvPr id="59506"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1238250" y="1628775"/>
          <a:ext cx="2971800" cy="552450"/>
        </a:xfrm>
        <a:prstGeom prst="rect">
          <a:avLst/>
        </a:prstGeom>
        <a:noFill/>
        <a:ln w="9525">
          <a:noFill/>
          <a:miter lim="800000"/>
          <a:headEnd/>
          <a:tailEnd/>
        </a:ln>
      </xdr:spPr>
    </xdr:pic>
    <xdr:clientData/>
  </xdr:twoCellAnchor>
  <xdr:twoCellAnchor>
    <xdr:from>
      <xdr:col>0</xdr:col>
      <xdr:colOff>971550</xdr:colOff>
      <xdr:row>10</xdr:row>
      <xdr:rowOff>19050</xdr:rowOff>
    </xdr:from>
    <xdr:to>
      <xdr:col>5</xdr:col>
      <xdr:colOff>0</xdr:colOff>
      <xdr:row>18</xdr:row>
      <xdr:rowOff>19050</xdr:rowOff>
    </xdr:to>
    <xdr:sp macro="" textlink="">
      <xdr:nvSpPr>
        <xdr:cNvPr id="59507" name="Rectangle 18"/>
        <xdr:cNvSpPr>
          <a:spLocks noChangeArrowheads="1"/>
        </xdr:cNvSpPr>
      </xdr:nvSpPr>
      <xdr:spPr bwMode="auto">
        <a:xfrm>
          <a:off x="971550" y="1638300"/>
          <a:ext cx="6791325" cy="1409700"/>
        </a:xfrm>
        <a:prstGeom prst="rect">
          <a:avLst/>
        </a:prstGeom>
        <a:noFill/>
        <a:ln w="38100">
          <a:solidFill>
            <a:srgbClr val="000000"/>
          </a:solidFill>
          <a:miter lim="800000"/>
          <a:headEnd/>
          <a:tailEnd/>
        </a:ln>
      </xdr:spPr>
    </xdr:sp>
    <xdr:clientData/>
  </xdr:twoCellAnchor>
  <xdr:twoCellAnchor>
    <xdr:from>
      <xdr:col>1</xdr:col>
      <xdr:colOff>1057275</xdr:colOff>
      <xdr:row>1</xdr:row>
      <xdr:rowOff>85725</xdr:rowOff>
    </xdr:from>
    <xdr:to>
      <xdr:col>2</xdr:col>
      <xdr:colOff>38100</xdr:colOff>
      <xdr:row>6</xdr:row>
      <xdr:rowOff>76200</xdr:rowOff>
    </xdr:to>
    <xdr:sp macro="" textlink="">
      <xdr:nvSpPr>
        <xdr:cNvPr id="59412" name="Text Box 20"/>
        <xdr:cNvSpPr txBox="1">
          <a:spLocks noChangeArrowheads="1"/>
        </xdr:cNvSpPr>
      </xdr:nvSpPr>
      <xdr:spPr bwMode="auto">
        <a:xfrm>
          <a:off x="2228850" y="247650"/>
          <a:ext cx="2171700" cy="8001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These are representative values only.</a:t>
          </a:r>
        </a:p>
        <a:p>
          <a:pPr algn="ctr" rtl="0">
            <a:defRPr sz="1000"/>
          </a:pPr>
          <a:endParaRPr lang="en-GB" sz="900" b="1" i="0" u="none" strike="noStrike" baseline="0">
            <a:solidFill>
              <a:srgbClr val="000000"/>
            </a:solidFill>
            <a:latin typeface="Arial"/>
            <a:cs typeface="Arial"/>
          </a:endParaRPr>
        </a:p>
        <a:p>
          <a:pPr algn="ctr" rtl="0">
            <a:defRPr sz="1000"/>
          </a:pPr>
          <a:r>
            <a:rPr lang="en-GB" sz="900" b="1" i="0" u="none" strike="noStrike" baseline="0">
              <a:solidFill>
                <a:srgbClr val="000000"/>
              </a:solidFill>
              <a:latin typeface="Arial"/>
              <a:cs typeface="Arial"/>
            </a:rPr>
            <a:t>ALWAYS check the tag of the sling</a:t>
          </a:r>
        </a:p>
        <a:p>
          <a:pPr algn="ctr" rtl="0">
            <a:defRPr sz="1000"/>
          </a:pPr>
          <a:r>
            <a:rPr lang="en-GB" sz="900" b="1" i="0" u="none" strike="noStrike" baseline="0">
              <a:solidFill>
                <a:srgbClr val="000000"/>
              </a:solidFill>
              <a:latin typeface="Arial"/>
              <a:cs typeface="Arial"/>
            </a:rPr>
            <a:t>BEFORE USING to verify the actual</a:t>
          </a:r>
        </a:p>
        <a:p>
          <a:pPr algn="ctr" rtl="0">
            <a:defRPr sz="1000"/>
          </a:pPr>
          <a:r>
            <a:rPr lang="en-GB" sz="900" b="1" i="0" u="none" strike="noStrike" baseline="0">
              <a:solidFill>
                <a:srgbClr val="000000"/>
              </a:solidFill>
              <a:latin typeface="Arial"/>
              <a:cs typeface="Arial"/>
            </a:rPr>
            <a:t>Working Load Limit of the sling!</a:t>
          </a:r>
        </a:p>
      </xdr:txBody>
    </xdr:sp>
    <xdr:clientData/>
  </xdr:twoCellAnchor>
  <xdr:twoCellAnchor editAs="oneCell">
    <xdr:from>
      <xdr:col>2</xdr:col>
      <xdr:colOff>323850</xdr:colOff>
      <xdr:row>0</xdr:row>
      <xdr:rowOff>47625</xdr:rowOff>
    </xdr:from>
    <xdr:to>
      <xdr:col>2</xdr:col>
      <xdr:colOff>933450</xdr:colOff>
      <xdr:row>8</xdr:row>
      <xdr:rowOff>114300</xdr:rowOff>
    </xdr:to>
    <xdr:pic>
      <xdr:nvPicPr>
        <xdr:cNvPr id="59509" name="Picture 22"/>
        <xdr:cNvPicPr>
          <a:picLocks noChangeAspect="1" noChangeArrowheads="1"/>
        </xdr:cNvPicPr>
      </xdr:nvPicPr>
      <xdr:blipFill>
        <a:blip xmlns:r="http://schemas.openxmlformats.org/officeDocument/2006/relationships" r:embed="rId2" cstate="print"/>
        <a:srcRect/>
        <a:stretch>
          <a:fillRect/>
        </a:stretch>
      </xdr:blipFill>
      <xdr:spPr bwMode="auto">
        <a:xfrm>
          <a:off x="4686300" y="47625"/>
          <a:ext cx="609600" cy="1362075"/>
        </a:xfrm>
        <a:prstGeom prst="rect">
          <a:avLst/>
        </a:prstGeom>
        <a:noFill/>
        <a:ln w="9525">
          <a:noFill/>
          <a:miter lim="800000"/>
          <a:headEnd/>
          <a:tailEnd/>
        </a:ln>
      </xdr:spPr>
    </xdr:pic>
    <xdr:clientData/>
  </xdr:twoCellAnchor>
  <xdr:twoCellAnchor editAs="oneCell">
    <xdr:from>
      <xdr:col>3</xdr:col>
      <xdr:colOff>219075</xdr:colOff>
      <xdr:row>0</xdr:row>
      <xdr:rowOff>66675</xdr:rowOff>
    </xdr:from>
    <xdr:to>
      <xdr:col>3</xdr:col>
      <xdr:colOff>781050</xdr:colOff>
      <xdr:row>8</xdr:row>
      <xdr:rowOff>123825</xdr:rowOff>
    </xdr:to>
    <xdr:pic>
      <xdr:nvPicPr>
        <xdr:cNvPr id="59510" name="Picture 23"/>
        <xdr:cNvPicPr>
          <a:picLocks noChangeAspect="1" noChangeArrowheads="1"/>
        </xdr:cNvPicPr>
      </xdr:nvPicPr>
      <xdr:blipFill>
        <a:blip xmlns:r="http://schemas.openxmlformats.org/officeDocument/2006/relationships" r:embed="rId3" cstate="print"/>
        <a:srcRect/>
        <a:stretch>
          <a:fillRect/>
        </a:stretch>
      </xdr:blipFill>
      <xdr:spPr bwMode="auto">
        <a:xfrm>
          <a:off x="5676900" y="66675"/>
          <a:ext cx="561975" cy="1352550"/>
        </a:xfrm>
        <a:prstGeom prst="rect">
          <a:avLst/>
        </a:prstGeom>
        <a:noFill/>
        <a:ln w="9525">
          <a:noFill/>
          <a:miter lim="800000"/>
          <a:headEnd/>
          <a:tailEnd/>
        </a:ln>
      </xdr:spPr>
    </xdr:pic>
    <xdr:clientData/>
  </xdr:twoCellAnchor>
  <xdr:twoCellAnchor editAs="oneCell">
    <xdr:from>
      <xdr:col>4</xdr:col>
      <xdr:colOff>285750</xdr:colOff>
      <xdr:row>0</xdr:row>
      <xdr:rowOff>47625</xdr:rowOff>
    </xdr:from>
    <xdr:to>
      <xdr:col>4</xdr:col>
      <xdr:colOff>847725</xdr:colOff>
      <xdr:row>8</xdr:row>
      <xdr:rowOff>133350</xdr:rowOff>
    </xdr:to>
    <xdr:pic>
      <xdr:nvPicPr>
        <xdr:cNvPr id="59511" name="Picture 24"/>
        <xdr:cNvPicPr>
          <a:picLocks noChangeAspect="1" noChangeArrowheads="1"/>
        </xdr:cNvPicPr>
      </xdr:nvPicPr>
      <xdr:blipFill>
        <a:blip xmlns:r="http://schemas.openxmlformats.org/officeDocument/2006/relationships" r:embed="rId4" cstate="print"/>
        <a:srcRect/>
        <a:stretch>
          <a:fillRect/>
        </a:stretch>
      </xdr:blipFill>
      <xdr:spPr bwMode="auto">
        <a:xfrm>
          <a:off x="6819900" y="47625"/>
          <a:ext cx="561975" cy="1381125"/>
        </a:xfrm>
        <a:prstGeom prst="rect">
          <a:avLst/>
        </a:prstGeom>
        <a:noFill/>
        <a:ln w="9525">
          <a:noFill/>
          <a:miter lim="800000"/>
          <a:headEnd/>
          <a:tailEnd/>
        </a:ln>
      </xdr:spPr>
    </xdr:pic>
    <xdr:clientData/>
  </xdr:twoCellAnchor>
  <xdr:twoCellAnchor>
    <xdr:from>
      <xdr:col>2</xdr:col>
      <xdr:colOff>180975</xdr:colOff>
      <xdr:row>10</xdr:row>
      <xdr:rowOff>104775</xdr:rowOff>
    </xdr:from>
    <xdr:to>
      <xdr:col>4</xdr:col>
      <xdr:colOff>352425</xdr:colOff>
      <xdr:row>12</xdr:row>
      <xdr:rowOff>142875</xdr:rowOff>
    </xdr:to>
    <xdr:sp macro="" textlink="">
      <xdr:nvSpPr>
        <xdr:cNvPr id="59417" name="Text Box 25"/>
        <xdr:cNvSpPr txBox="1">
          <a:spLocks noChangeArrowheads="1"/>
        </xdr:cNvSpPr>
      </xdr:nvSpPr>
      <xdr:spPr bwMode="auto">
        <a:xfrm>
          <a:off x="4543425" y="1724025"/>
          <a:ext cx="2343150" cy="3619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GB" sz="900" b="1" i="0" u="none" strike="noStrike" baseline="0">
              <a:solidFill>
                <a:srgbClr val="000000"/>
              </a:solidFill>
              <a:latin typeface="Arial"/>
              <a:cs typeface="Arial"/>
            </a:rPr>
            <a:t>Minimum Pin Diameter: </a:t>
          </a:r>
          <a:endParaRPr lang="en-GB" sz="900" b="0" i="0" u="none" strike="noStrike" baseline="0">
            <a:solidFill>
              <a:srgbClr val="000000"/>
            </a:solidFill>
            <a:latin typeface="Arial"/>
            <a:cs typeface="Arial"/>
          </a:endParaRPr>
        </a:p>
        <a:p>
          <a:pPr algn="l" rtl="0">
            <a:defRPr sz="1000"/>
          </a:pPr>
          <a:r>
            <a:rPr lang="en-GB" sz="900" b="1" i="0" u="none" strike="noStrike" baseline="0">
              <a:solidFill>
                <a:srgbClr val="FF0000"/>
              </a:solidFill>
              <a:latin typeface="Arial"/>
              <a:cs typeface="Arial"/>
            </a:rPr>
            <a:t>Never</a:t>
          </a:r>
          <a:r>
            <a:rPr lang="en-GB" sz="900" b="0" i="0" u="none" strike="noStrike" baseline="0">
              <a:solidFill>
                <a:srgbClr val="000000"/>
              </a:solidFill>
              <a:latin typeface="Arial"/>
              <a:cs typeface="Arial"/>
            </a:rPr>
            <a:t> smaller than the sling diameter.</a:t>
          </a:r>
          <a:endParaRPr lang="en-GB" sz="900" b="1" i="0" u="none" strike="noStrike" baseline="0">
            <a:solidFill>
              <a:srgbClr val="000000"/>
            </a:solidFill>
            <a:latin typeface="Arial"/>
            <a:cs typeface="Arial"/>
          </a:endParaRPr>
        </a:p>
        <a:p>
          <a:pPr algn="l" rtl="0">
            <a:defRPr sz="1000"/>
          </a:pPr>
          <a:endParaRPr lang="en-GB" sz="900" b="1" i="0" u="none" strike="noStrike" baseline="0">
            <a:solidFill>
              <a:srgbClr val="000000"/>
            </a:solidFill>
            <a:latin typeface="Arial"/>
            <a:cs typeface="Arial"/>
          </a:endParaRPr>
        </a:p>
      </xdr:txBody>
    </xdr:sp>
    <xdr:clientData/>
  </xdr:twoCellAnchor>
  <xdr:twoCellAnchor editAs="absolute">
    <xdr:from>
      <xdr:col>0</xdr:col>
      <xdr:colOff>47625</xdr:colOff>
      <xdr:row>0</xdr:row>
      <xdr:rowOff>66675</xdr:rowOff>
    </xdr:from>
    <xdr:to>
      <xdr:col>0</xdr:col>
      <xdr:colOff>942975</xdr:colOff>
      <xdr:row>1</xdr:row>
      <xdr:rowOff>133350</xdr:rowOff>
    </xdr:to>
    <xdr:pic>
      <xdr:nvPicPr>
        <xdr:cNvPr id="59513" name="Picture 32">
          <a:hlinkClick xmlns:r="http://schemas.openxmlformats.org/officeDocument/2006/relationships" r:id="rId5" tooltip="Return to Main Menu"/>
        </xdr:cNvPr>
        <xdr:cNvPicPr>
          <a:picLocks noChangeAspect="1" noChangeArrowheads="1"/>
        </xdr:cNvPicPr>
      </xdr:nvPicPr>
      <xdr:blipFill>
        <a:blip xmlns:r="http://schemas.openxmlformats.org/officeDocument/2006/relationships" r:embed="rId6" cstate="print"/>
        <a:srcRect/>
        <a:stretch>
          <a:fillRect/>
        </a:stretch>
      </xdr:blipFill>
      <xdr:spPr bwMode="auto">
        <a:xfrm>
          <a:off x="47625" y="6667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1</xdr:row>
      <xdr:rowOff>142875</xdr:rowOff>
    </xdr:from>
    <xdr:to>
      <xdr:col>0</xdr:col>
      <xdr:colOff>942975</xdr:colOff>
      <xdr:row>3</xdr:row>
      <xdr:rowOff>47625</xdr:rowOff>
    </xdr:to>
    <xdr:pic>
      <xdr:nvPicPr>
        <xdr:cNvPr id="59514" name="Picture 33">
          <a:hlinkClick xmlns:r="http://schemas.openxmlformats.org/officeDocument/2006/relationships" r:id="rId7" tooltip="Go To Master Index"/>
        </xdr:cNvPr>
        <xdr:cNvPicPr>
          <a:picLocks noChangeAspect="1" noChangeArrowheads="1"/>
        </xdr:cNvPicPr>
      </xdr:nvPicPr>
      <xdr:blipFill>
        <a:blip xmlns:r="http://schemas.openxmlformats.org/officeDocument/2006/relationships" r:embed="rId8" cstate="print"/>
        <a:srcRect/>
        <a:stretch>
          <a:fillRect/>
        </a:stretch>
      </xdr:blipFill>
      <xdr:spPr bwMode="auto">
        <a:xfrm>
          <a:off x="47625" y="304800"/>
          <a:ext cx="895350" cy="228600"/>
        </a:xfrm>
        <a:prstGeom prst="rect">
          <a:avLst/>
        </a:prstGeom>
        <a:noFill/>
        <a:ln w="9525">
          <a:noFill/>
          <a:miter lim="800000"/>
          <a:headEnd/>
          <a:tailEnd/>
        </a:ln>
      </xdr:spPr>
    </xdr:pic>
    <xdr:clientData fPrintsWithSheet="0"/>
  </xdr:twoCellAnchor>
  <xdr:twoCellAnchor editAs="absolute">
    <xdr:from>
      <xdr:col>0</xdr:col>
      <xdr:colOff>47625</xdr:colOff>
      <xdr:row>3</xdr:row>
      <xdr:rowOff>76200</xdr:rowOff>
    </xdr:from>
    <xdr:to>
      <xdr:col>0</xdr:col>
      <xdr:colOff>942975</xdr:colOff>
      <xdr:row>4</xdr:row>
      <xdr:rowOff>142875</xdr:rowOff>
    </xdr:to>
    <xdr:pic>
      <xdr:nvPicPr>
        <xdr:cNvPr id="59515" name="Picture 34">
          <a:hlinkClick xmlns:r="http://schemas.openxmlformats.org/officeDocument/2006/relationships" r:id="rId9" tooltip="Go To Weights Menu"/>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7625" y="56197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4</xdr:row>
      <xdr:rowOff>142875</xdr:rowOff>
    </xdr:from>
    <xdr:to>
      <xdr:col>0</xdr:col>
      <xdr:colOff>942975</xdr:colOff>
      <xdr:row>6</xdr:row>
      <xdr:rowOff>47625</xdr:rowOff>
    </xdr:to>
    <xdr:pic>
      <xdr:nvPicPr>
        <xdr:cNvPr id="59516" name="Picture 35">
          <a:hlinkClick xmlns:r="http://schemas.openxmlformats.org/officeDocument/2006/relationships" r:id="rId11" tooltip="Go To Tensions Menu"/>
        </xdr:cNvPr>
        <xdr:cNvPicPr>
          <a:picLocks noChangeAspect="1" noChangeArrowheads="1"/>
        </xdr:cNvPicPr>
      </xdr:nvPicPr>
      <xdr:blipFill>
        <a:blip xmlns:r="http://schemas.openxmlformats.org/officeDocument/2006/relationships" r:embed="rId12" cstate="print"/>
        <a:srcRect/>
        <a:stretch>
          <a:fillRect/>
        </a:stretch>
      </xdr:blipFill>
      <xdr:spPr bwMode="auto">
        <a:xfrm>
          <a:off x="47625" y="79057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6</xdr:row>
      <xdr:rowOff>47625</xdr:rowOff>
    </xdr:from>
    <xdr:to>
      <xdr:col>0</xdr:col>
      <xdr:colOff>942975</xdr:colOff>
      <xdr:row>7</xdr:row>
      <xdr:rowOff>114300</xdr:rowOff>
    </xdr:to>
    <xdr:pic>
      <xdr:nvPicPr>
        <xdr:cNvPr id="59517" name="Picture 36">
          <a:hlinkClick xmlns:r="http://schemas.openxmlformats.org/officeDocument/2006/relationships" r:id="rId13" tooltip="Go To Equipment Menu"/>
        </xdr:cNvPr>
        <xdr:cNvPicPr>
          <a:picLocks noChangeAspect="1" noChangeArrowheads="1"/>
        </xdr:cNvPicPr>
      </xdr:nvPicPr>
      <xdr:blipFill>
        <a:blip xmlns:r="http://schemas.openxmlformats.org/officeDocument/2006/relationships" r:embed="rId14" cstate="print"/>
        <a:srcRect/>
        <a:stretch>
          <a:fillRect/>
        </a:stretch>
      </xdr:blipFill>
      <xdr:spPr bwMode="auto">
        <a:xfrm>
          <a:off x="47625" y="1019175"/>
          <a:ext cx="895350" cy="228600"/>
        </a:xfrm>
        <a:prstGeom prst="rect">
          <a:avLst/>
        </a:prstGeom>
        <a:noFill/>
        <a:ln w="9525">
          <a:noFill/>
          <a:miter lim="800000"/>
          <a:headEnd/>
          <a:tailEnd/>
        </a:ln>
      </xdr:spPr>
    </xdr:pic>
    <xdr:clientData fPrintsWithSheet="0"/>
  </xdr:twoCellAnchor>
  <xdr:twoCellAnchor editAs="absolute">
    <xdr:from>
      <xdr:col>0</xdr:col>
      <xdr:colOff>114300</xdr:colOff>
      <xdr:row>7</xdr:row>
      <xdr:rowOff>152400</xdr:rowOff>
    </xdr:from>
    <xdr:to>
      <xdr:col>0</xdr:col>
      <xdr:colOff>342900</xdr:colOff>
      <xdr:row>9</xdr:row>
      <xdr:rowOff>57150</xdr:rowOff>
    </xdr:to>
    <xdr:pic>
      <xdr:nvPicPr>
        <xdr:cNvPr id="59518" name="Picture 37" descr="Code Information">
          <a:hlinkClick xmlns:r="http://schemas.openxmlformats.org/officeDocument/2006/relationships" r:id="rId15" tooltip="Code Information"/>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14300" y="1285875"/>
          <a:ext cx="228600" cy="228600"/>
        </a:xfrm>
        <a:prstGeom prst="rect">
          <a:avLst/>
        </a:prstGeom>
        <a:noFill/>
        <a:ln w="9525">
          <a:noFill/>
          <a:miter lim="800000"/>
          <a:headEnd/>
          <a:tailEnd/>
        </a:ln>
      </xdr:spPr>
    </xdr:pic>
    <xdr:clientData fPrintsWithSheet="0"/>
  </xdr:twoCellAnchor>
  <xdr:twoCellAnchor editAs="absolute">
    <xdr:from>
      <xdr:col>0</xdr:col>
      <xdr:colOff>371475</xdr:colOff>
      <xdr:row>7</xdr:row>
      <xdr:rowOff>152400</xdr:rowOff>
    </xdr:from>
    <xdr:to>
      <xdr:col>0</xdr:col>
      <xdr:colOff>600075</xdr:colOff>
      <xdr:row>9</xdr:row>
      <xdr:rowOff>57150</xdr:rowOff>
    </xdr:to>
    <xdr:pic>
      <xdr:nvPicPr>
        <xdr:cNvPr id="59519" name="Picture 38" descr="help">
          <a:hlinkClick xmlns:r="http://schemas.openxmlformats.org/officeDocument/2006/relationships" r:id="rId17" tooltip="Help"/>
        </xdr:cNvPr>
        <xdr:cNvPicPr>
          <a:picLocks noChangeAspect="1" noChangeArrowheads="1"/>
        </xdr:cNvPicPr>
      </xdr:nvPicPr>
      <xdr:blipFill>
        <a:blip xmlns:r="http://schemas.openxmlformats.org/officeDocument/2006/relationships" r:embed="rId18" cstate="print"/>
        <a:srcRect/>
        <a:stretch>
          <a:fillRect/>
        </a:stretch>
      </xdr:blipFill>
      <xdr:spPr bwMode="auto">
        <a:xfrm>
          <a:off x="371475" y="1285875"/>
          <a:ext cx="228600" cy="228600"/>
        </a:xfrm>
        <a:prstGeom prst="rect">
          <a:avLst/>
        </a:prstGeom>
        <a:noFill/>
        <a:ln w="9525">
          <a:noFill/>
          <a:miter lim="800000"/>
          <a:headEnd/>
          <a:tailEnd/>
        </a:ln>
      </xdr:spPr>
    </xdr:pic>
    <xdr:clientData fPrintsWithSheet="0"/>
  </xdr:twoCellAnchor>
  <xdr:twoCellAnchor editAs="absolute">
    <xdr:from>
      <xdr:col>0</xdr:col>
      <xdr:colOff>638175</xdr:colOff>
      <xdr:row>7</xdr:row>
      <xdr:rowOff>152400</xdr:rowOff>
    </xdr:from>
    <xdr:to>
      <xdr:col>0</xdr:col>
      <xdr:colOff>866775</xdr:colOff>
      <xdr:row>9</xdr:row>
      <xdr:rowOff>57150</xdr:rowOff>
    </xdr:to>
    <xdr:pic>
      <xdr:nvPicPr>
        <xdr:cNvPr id="59520" name="Picture 39" descr="star">
          <a:hlinkClick xmlns:r="http://schemas.openxmlformats.org/officeDocument/2006/relationships" r:id="rId19" tooltip="Conversions"/>
        </xdr:cNvPr>
        <xdr:cNvPicPr>
          <a:picLocks noChangeAspect="1" noChangeArrowheads="1"/>
        </xdr:cNvPicPr>
      </xdr:nvPicPr>
      <xdr:blipFill>
        <a:blip xmlns:r="http://schemas.openxmlformats.org/officeDocument/2006/relationships" r:embed="rId20" cstate="print"/>
        <a:srcRect/>
        <a:stretch>
          <a:fillRect/>
        </a:stretch>
      </xdr:blipFill>
      <xdr:spPr bwMode="auto">
        <a:xfrm>
          <a:off x="638175" y="1285875"/>
          <a:ext cx="228600" cy="22860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editAs="oneCell">
        <xdr:from>
          <xdr:col>1</xdr:col>
          <xdr:colOff>304800</xdr:colOff>
          <xdr:row>16</xdr:row>
          <xdr:rowOff>9525</xdr:rowOff>
        </xdr:from>
        <xdr:to>
          <xdr:col>1</xdr:col>
          <xdr:colOff>3171825</xdr:colOff>
          <xdr:row>17</xdr:row>
          <xdr:rowOff>0</xdr:rowOff>
        </xdr:to>
        <xdr:sp macro="" textlink="">
          <xdr:nvSpPr>
            <xdr:cNvPr id="59408" name="Drop Down 16" hidden="1">
              <a:extLst>
                <a:ext uri="{63B3BB69-23CF-44E3-9099-C40C66FF867C}">
                  <a14:compatExt spid="_x0000_s594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1028700</xdr:colOff>
          <xdr:row>2</xdr:row>
          <xdr:rowOff>66675</xdr:rowOff>
        </xdr:from>
        <xdr:to>
          <xdr:col>1</xdr:col>
          <xdr:colOff>933450</xdr:colOff>
          <xdr:row>4</xdr:row>
          <xdr:rowOff>9525</xdr:rowOff>
        </xdr:to>
        <xdr:grpSp>
          <xdr:nvGrpSpPr>
            <xdr:cNvPr id="59396" name="Group 4"/>
            <xdr:cNvGrpSpPr>
              <a:grpSpLocks/>
            </xdr:cNvGrpSpPr>
          </xdr:nvGrpSpPr>
          <xdr:grpSpPr bwMode="auto">
            <a:xfrm>
              <a:off x="1028700" y="390525"/>
              <a:ext cx="1076325" cy="266700"/>
              <a:chOff x="181" y="50"/>
              <a:chExt cx="113" cy="28"/>
            </a:xfrm>
          </xdr:grpSpPr>
          <xdr:sp macro="" textlink="">
            <xdr:nvSpPr>
              <xdr:cNvPr id="59397" name="Option Button 5" hidden="1">
                <a:extLst>
                  <a:ext uri="{63B3BB69-23CF-44E3-9099-C40C66FF867C}">
                    <a14:compatExt spid="_x0000_s59397"/>
                  </a:ext>
                </a:extLst>
              </xdr:cNvPr>
              <xdr:cNvSpPr/>
            </xdr:nvSpPr>
            <xdr:spPr>
              <a:xfrm>
                <a:off x="185" y="55"/>
                <a:ext cx="46"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lbs</a:t>
                </a:r>
              </a:p>
            </xdr:txBody>
          </xdr:sp>
          <xdr:grpSp>
            <xdr:nvGrpSpPr>
              <xdr:cNvPr id="59398" name="Group 6"/>
              <xdr:cNvGrpSpPr>
                <a:grpSpLocks/>
              </xdr:cNvGrpSpPr>
            </xdr:nvGrpSpPr>
            <xdr:grpSpPr bwMode="auto">
              <a:xfrm>
                <a:off x="181" y="50"/>
                <a:ext cx="113" cy="28"/>
                <a:chOff x="181" y="50"/>
                <a:chExt cx="113" cy="28"/>
              </a:xfrm>
            </xdr:grpSpPr>
            <xdr:sp macro="" textlink="">
              <xdr:nvSpPr>
                <xdr:cNvPr id="59399" name="Option Button 7" hidden="1">
                  <a:extLst>
                    <a:ext uri="{63B3BB69-23CF-44E3-9099-C40C66FF867C}">
                      <a14:compatExt spid="_x0000_s59399"/>
                    </a:ext>
                  </a:extLst>
                </xdr:cNvPr>
                <xdr:cNvSpPr/>
              </xdr:nvSpPr>
              <xdr:spPr>
                <a:xfrm>
                  <a:off x="229" y="55"/>
                  <a:ext cx="57"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kgs</a:t>
                  </a:r>
                </a:p>
              </xdr:txBody>
            </xdr:sp>
            <xdr:sp macro="" textlink="">
              <xdr:nvSpPr>
                <xdr:cNvPr id="59400" name="Group Box 8" hidden="1">
                  <a:extLst>
                    <a:ext uri="{63B3BB69-23CF-44E3-9099-C40C66FF867C}">
                      <a14:compatExt spid="_x0000_s59400"/>
                    </a:ext>
                  </a:extLst>
                </xdr:cNvPr>
                <xdr:cNvSpPr/>
              </xdr:nvSpPr>
              <xdr:spPr>
                <a:xfrm>
                  <a:off x="181" y="50"/>
                  <a:ext cx="113" cy="28"/>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Show Capacity in:</a:t>
                  </a:r>
                </a:p>
              </xdr:txBody>
            </xdr:sp>
          </xdr:grpSp>
        </xdr:grp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xdr:from>
      <xdr:col>1</xdr:col>
      <xdr:colOff>9525</xdr:colOff>
      <xdr:row>9</xdr:row>
      <xdr:rowOff>142875</xdr:rowOff>
    </xdr:from>
    <xdr:to>
      <xdr:col>1</xdr:col>
      <xdr:colOff>3162300</xdr:colOff>
      <xdr:row>11</xdr:row>
      <xdr:rowOff>104775</xdr:rowOff>
    </xdr:to>
    <xdr:sp macro="" textlink="">
      <xdr:nvSpPr>
        <xdr:cNvPr id="58406" name="Text Box 38"/>
        <xdr:cNvSpPr txBox="1">
          <a:spLocks noChangeArrowheads="1"/>
        </xdr:cNvSpPr>
      </xdr:nvSpPr>
      <xdr:spPr bwMode="auto">
        <a:xfrm>
          <a:off x="923925" y="1600200"/>
          <a:ext cx="3152775" cy="314325"/>
        </a:xfrm>
        <a:prstGeom prst="rect">
          <a:avLst/>
        </a:prstGeom>
        <a:solidFill>
          <a:srgbClr val="FFFF00"/>
        </a:solidFill>
        <a:ln w="9525">
          <a:noFill/>
          <a:miter lim="800000"/>
          <a:headEnd/>
          <a:tailEnd/>
        </a:ln>
      </xdr:spPr>
      <xdr:txBody>
        <a:bodyPr vertOverflow="clip" wrap="square" lIns="54864" tIns="22860" rIns="0" bIns="22860" anchor="ctr" upright="1"/>
        <a:lstStyle/>
        <a:p>
          <a:pPr algn="l" rtl="0">
            <a:defRPr sz="1000"/>
          </a:pPr>
          <a:r>
            <a:rPr lang="en-GB" sz="1000" b="1" i="0" u="none" strike="noStrike" baseline="0">
              <a:solidFill>
                <a:srgbClr val="000000"/>
              </a:solidFill>
              <a:latin typeface="Wingdings"/>
            </a:rPr>
            <a:t>è</a:t>
          </a:r>
        </a:p>
      </xdr:txBody>
    </xdr:sp>
    <xdr:clientData/>
  </xdr:twoCellAnchor>
  <xdr:twoCellAnchor editAs="absolute">
    <xdr:from>
      <xdr:col>1</xdr:col>
      <xdr:colOff>66675</xdr:colOff>
      <xdr:row>1</xdr:row>
      <xdr:rowOff>133350</xdr:rowOff>
    </xdr:from>
    <xdr:to>
      <xdr:col>1</xdr:col>
      <xdr:colOff>1314450</xdr:colOff>
      <xdr:row>5</xdr:row>
      <xdr:rowOff>19050</xdr:rowOff>
    </xdr:to>
    <xdr:grpSp>
      <xdr:nvGrpSpPr>
        <xdr:cNvPr id="58505" name="Group 2"/>
        <xdr:cNvGrpSpPr>
          <a:grpSpLocks/>
        </xdr:cNvGrpSpPr>
      </xdr:nvGrpSpPr>
      <xdr:grpSpPr bwMode="auto">
        <a:xfrm>
          <a:off x="981075" y="295275"/>
          <a:ext cx="1247775" cy="533400"/>
          <a:chOff x="871" y="339"/>
          <a:chExt cx="131" cy="56"/>
        </a:xfrm>
      </xdr:grpSpPr>
      <xdr:sp macro="" textlink="">
        <xdr:nvSpPr>
          <xdr:cNvPr id="58524" name="Rectangle 3"/>
          <xdr:cNvSpPr>
            <a:spLocks noChangeArrowheads="1"/>
          </xdr:cNvSpPr>
        </xdr:nvSpPr>
        <xdr:spPr bwMode="auto">
          <a:xfrm>
            <a:off x="871" y="339"/>
            <a:ext cx="131" cy="56"/>
          </a:xfrm>
          <a:prstGeom prst="rect">
            <a:avLst/>
          </a:prstGeom>
          <a:solidFill>
            <a:srgbClr val="FFFF99"/>
          </a:solidFill>
          <a:ln w="9525">
            <a:solidFill>
              <a:srgbClr val="000000"/>
            </a:solidFill>
            <a:miter lim="800000"/>
            <a:headEnd/>
            <a:tailEnd/>
          </a:ln>
        </xdr:spPr>
      </xdr:sp>
    </xdr:grpSp>
    <xdr:clientData fPrintsWithSheet="0"/>
  </xdr:twoCellAnchor>
  <xdr:twoCellAnchor>
    <xdr:from>
      <xdr:col>1</xdr:col>
      <xdr:colOff>0</xdr:colOff>
      <xdr:row>13</xdr:row>
      <xdr:rowOff>9525</xdr:rowOff>
    </xdr:from>
    <xdr:to>
      <xdr:col>5</xdr:col>
      <xdr:colOff>0</xdr:colOff>
      <xdr:row>25</xdr:row>
      <xdr:rowOff>114300</xdr:rowOff>
    </xdr:to>
    <xdr:sp macro="" textlink="">
      <xdr:nvSpPr>
        <xdr:cNvPr id="58506" name="Rectangle 20"/>
        <xdr:cNvSpPr>
          <a:spLocks noChangeArrowheads="1"/>
        </xdr:cNvSpPr>
      </xdr:nvSpPr>
      <xdr:spPr bwMode="auto">
        <a:xfrm>
          <a:off x="914400" y="2190750"/>
          <a:ext cx="6591300" cy="2686050"/>
        </a:xfrm>
        <a:prstGeom prst="rect">
          <a:avLst/>
        </a:prstGeom>
        <a:noFill/>
        <a:ln w="38100">
          <a:solidFill>
            <a:srgbClr val="000000"/>
          </a:solidFill>
          <a:miter lim="800000"/>
          <a:headEnd/>
          <a:tailEnd/>
        </a:ln>
      </xdr:spPr>
    </xdr:sp>
    <xdr:clientData/>
  </xdr:twoCellAnchor>
  <xdr:twoCellAnchor>
    <xdr:from>
      <xdr:col>1</xdr:col>
      <xdr:colOff>1333500</xdr:colOff>
      <xdr:row>1</xdr:row>
      <xdr:rowOff>123825</xdr:rowOff>
    </xdr:from>
    <xdr:to>
      <xdr:col>2</xdr:col>
      <xdr:colOff>314325</xdr:colOff>
      <xdr:row>6</xdr:row>
      <xdr:rowOff>114300</xdr:rowOff>
    </xdr:to>
    <xdr:sp macro="" textlink="">
      <xdr:nvSpPr>
        <xdr:cNvPr id="58391" name="Text Box 23"/>
        <xdr:cNvSpPr txBox="1">
          <a:spLocks noChangeArrowheads="1"/>
        </xdr:cNvSpPr>
      </xdr:nvSpPr>
      <xdr:spPr bwMode="auto">
        <a:xfrm>
          <a:off x="2247900" y="285750"/>
          <a:ext cx="2171700" cy="8001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These are representative values only.</a:t>
          </a:r>
        </a:p>
        <a:p>
          <a:pPr algn="ctr" rtl="0">
            <a:defRPr sz="1000"/>
          </a:pPr>
          <a:endParaRPr lang="en-GB" sz="900" b="1" i="0" u="none" strike="noStrike" baseline="0">
            <a:solidFill>
              <a:srgbClr val="000000"/>
            </a:solidFill>
            <a:latin typeface="Arial"/>
            <a:cs typeface="Arial"/>
          </a:endParaRPr>
        </a:p>
        <a:p>
          <a:pPr algn="ctr" rtl="0">
            <a:defRPr sz="1000"/>
          </a:pPr>
          <a:r>
            <a:rPr lang="en-GB" sz="900" b="1" i="0" u="none" strike="noStrike" baseline="0">
              <a:solidFill>
                <a:srgbClr val="000000"/>
              </a:solidFill>
              <a:latin typeface="Arial"/>
              <a:cs typeface="Arial"/>
            </a:rPr>
            <a:t>ALWAYS check the tag on the sling</a:t>
          </a:r>
        </a:p>
        <a:p>
          <a:pPr algn="ctr" rtl="0">
            <a:defRPr sz="1000"/>
          </a:pPr>
          <a:r>
            <a:rPr lang="en-GB" sz="900" b="1" i="0" u="none" strike="noStrike" baseline="0">
              <a:solidFill>
                <a:srgbClr val="000000"/>
              </a:solidFill>
              <a:latin typeface="Arial"/>
              <a:cs typeface="Arial"/>
            </a:rPr>
            <a:t>BEFORE USING to verify the actual</a:t>
          </a:r>
        </a:p>
        <a:p>
          <a:pPr algn="ctr" rtl="0">
            <a:defRPr sz="1000"/>
          </a:pPr>
          <a:r>
            <a:rPr lang="en-GB" sz="900" b="1" i="0" u="none" strike="noStrike" baseline="0">
              <a:solidFill>
                <a:srgbClr val="000000"/>
              </a:solidFill>
              <a:latin typeface="Arial"/>
              <a:cs typeface="Arial"/>
            </a:rPr>
            <a:t>Working Load Limit of the sling!</a:t>
          </a:r>
        </a:p>
      </xdr:txBody>
    </xdr:sp>
    <xdr:clientData/>
  </xdr:twoCellAnchor>
  <xdr:twoCellAnchor>
    <xdr:from>
      <xdr:col>2</xdr:col>
      <xdr:colOff>180975</xdr:colOff>
      <xdr:row>7</xdr:row>
      <xdr:rowOff>0</xdr:rowOff>
    </xdr:from>
    <xdr:to>
      <xdr:col>4</xdr:col>
      <xdr:colOff>1133475</xdr:colOff>
      <xdr:row>7</xdr:row>
      <xdr:rowOff>0</xdr:rowOff>
    </xdr:to>
    <xdr:sp macro="" textlink="">
      <xdr:nvSpPr>
        <xdr:cNvPr id="58396" name="Text Box 28"/>
        <xdr:cNvSpPr txBox="1">
          <a:spLocks noChangeArrowheads="1"/>
        </xdr:cNvSpPr>
      </xdr:nvSpPr>
      <xdr:spPr bwMode="auto">
        <a:xfrm>
          <a:off x="4286250" y="1133475"/>
          <a:ext cx="312420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GB" sz="900" b="1" i="0" u="none" strike="noStrike" baseline="0">
              <a:solidFill>
                <a:srgbClr val="000000"/>
              </a:solidFill>
              <a:latin typeface="Arial"/>
              <a:cs typeface="Arial"/>
            </a:rPr>
            <a:t>Basket Hitch capacity is based on:</a:t>
          </a:r>
        </a:p>
        <a:p>
          <a:pPr algn="l" rtl="0">
            <a:defRPr sz="1000"/>
          </a:pPr>
          <a:r>
            <a:rPr lang="en-GB" sz="900" b="0" i="0" u="none" strike="noStrike" baseline="0">
              <a:solidFill>
                <a:srgbClr val="000000"/>
              </a:solidFill>
              <a:latin typeface="Arial"/>
              <a:cs typeface="Arial"/>
            </a:rPr>
            <a:t>D/d ratio is 20:1 AND sling legs within 5° of vertical</a:t>
          </a:r>
        </a:p>
        <a:p>
          <a:pPr algn="l" rtl="0">
            <a:defRPr sz="1000"/>
          </a:pPr>
          <a:r>
            <a:rPr lang="en-GB" sz="900" b="1" i="0" u="none" strike="noStrike" baseline="0">
              <a:solidFill>
                <a:srgbClr val="000000"/>
              </a:solidFill>
              <a:latin typeface="Arial"/>
              <a:cs typeface="Arial"/>
            </a:rPr>
            <a:t>Minimum Pin Diameter: </a:t>
          </a:r>
          <a:endParaRPr lang="en-GB" sz="900" b="0" i="0" u="none" strike="noStrike" baseline="0">
            <a:solidFill>
              <a:srgbClr val="000000"/>
            </a:solidFill>
            <a:latin typeface="Arial"/>
            <a:cs typeface="Arial"/>
          </a:endParaRPr>
        </a:p>
        <a:p>
          <a:pPr algn="l" rtl="0">
            <a:defRPr sz="1000"/>
          </a:pPr>
          <a:r>
            <a:rPr lang="en-GB" sz="900" b="1" i="0" u="none" strike="noStrike" baseline="0">
              <a:solidFill>
                <a:srgbClr val="FF0000"/>
              </a:solidFill>
              <a:latin typeface="Arial"/>
              <a:cs typeface="Arial"/>
            </a:rPr>
            <a:t>Never</a:t>
          </a:r>
          <a:r>
            <a:rPr lang="en-GB" sz="900" b="0" i="0" u="none" strike="noStrike" baseline="0">
              <a:solidFill>
                <a:srgbClr val="000000"/>
              </a:solidFill>
              <a:latin typeface="Arial"/>
              <a:cs typeface="Arial"/>
            </a:rPr>
            <a:t> smaller than the sling diameter.</a:t>
          </a:r>
          <a:endParaRPr lang="en-GB" sz="900" b="1" i="0" u="none" strike="noStrike" baseline="0">
            <a:solidFill>
              <a:srgbClr val="000000"/>
            </a:solidFill>
            <a:latin typeface="Arial"/>
            <a:cs typeface="Arial"/>
          </a:endParaRPr>
        </a:p>
        <a:p>
          <a:pPr algn="l" rtl="0">
            <a:defRPr sz="1000"/>
          </a:pPr>
          <a:endParaRPr lang="en-GB" sz="900" b="1" i="0" u="none" strike="noStrike" baseline="0">
            <a:solidFill>
              <a:srgbClr val="000000"/>
            </a:solidFill>
            <a:latin typeface="Arial"/>
            <a:cs typeface="Arial"/>
          </a:endParaRPr>
        </a:p>
      </xdr:txBody>
    </xdr:sp>
    <xdr:clientData/>
  </xdr:twoCellAnchor>
  <xdr:twoCellAnchor editAs="oneCell">
    <xdr:from>
      <xdr:col>2</xdr:col>
      <xdr:colOff>438150</xdr:colOff>
      <xdr:row>0</xdr:row>
      <xdr:rowOff>76200</xdr:rowOff>
    </xdr:from>
    <xdr:to>
      <xdr:col>2</xdr:col>
      <xdr:colOff>666750</xdr:colOff>
      <xdr:row>8</xdr:row>
      <xdr:rowOff>85725</xdr:rowOff>
    </xdr:to>
    <xdr:pic>
      <xdr:nvPicPr>
        <xdr:cNvPr id="58509" name="Picture 29"/>
        <xdr:cNvPicPr>
          <a:picLocks noChangeAspect="1" noChangeArrowheads="1"/>
        </xdr:cNvPicPr>
      </xdr:nvPicPr>
      <xdr:blipFill>
        <a:blip xmlns:r="http://schemas.openxmlformats.org/officeDocument/2006/relationships" r:embed="rId1" cstate="print"/>
        <a:srcRect/>
        <a:stretch>
          <a:fillRect/>
        </a:stretch>
      </xdr:blipFill>
      <xdr:spPr bwMode="auto">
        <a:xfrm>
          <a:off x="4543425" y="76200"/>
          <a:ext cx="228600" cy="1304925"/>
        </a:xfrm>
        <a:prstGeom prst="rect">
          <a:avLst/>
        </a:prstGeom>
        <a:noFill/>
        <a:ln w="9525">
          <a:noFill/>
          <a:miter lim="800000"/>
          <a:headEnd/>
          <a:tailEnd/>
        </a:ln>
      </xdr:spPr>
    </xdr:pic>
    <xdr:clientData/>
  </xdr:twoCellAnchor>
  <xdr:twoCellAnchor editAs="oneCell">
    <xdr:from>
      <xdr:col>1</xdr:col>
      <xdr:colOff>2152650</xdr:colOff>
      <xdr:row>14</xdr:row>
      <xdr:rowOff>57150</xdr:rowOff>
    </xdr:from>
    <xdr:to>
      <xdr:col>1</xdr:col>
      <xdr:colOff>2667000</xdr:colOff>
      <xdr:row>16</xdr:row>
      <xdr:rowOff>647700</xdr:rowOff>
    </xdr:to>
    <xdr:pic>
      <xdr:nvPicPr>
        <xdr:cNvPr id="58510" name="Picture 31"/>
        <xdr:cNvPicPr>
          <a:picLocks noChangeAspect="1" noChangeArrowheads="1"/>
        </xdr:cNvPicPr>
      </xdr:nvPicPr>
      <xdr:blipFill>
        <a:blip xmlns:r="http://schemas.openxmlformats.org/officeDocument/2006/relationships" r:embed="rId2" cstate="print"/>
        <a:srcRect/>
        <a:stretch>
          <a:fillRect/>
        </a:stretch>
      </xdr:blipFill>
      <xdr:spPr bwMode="auto">
        <a:xfrm>
          <a:off x="3067050" y="2428875"/>
          <a:ext cx="514350" cy="914400"/>
        </a:xfrm>
        <a:prstGeom prst="rect">
          <a:avLst/>
        </a:prstGeom>
        <a:noFill/>
        <a:ln w="9525">
          <a:noFill/>
          <a:miter lim="800000"/>
          <a:headEnd/>
          <a:tailEnd/>
        </a:ln>
      </xdr:spPr>
    </xdr:pic>
    <xdr:clientData/>
  </xdr:twoCellAnchor>
  <xdr:twoCellAnchor editAs="oneCell">
    <xdr:from>
      <xdr:col>3</xdr:col>
      <xdr:colOff>114300</xdr:colOff>
      <xdr:row>0</xdr:row>
      <xdr:rowOff>76200</xdr:rowOff>
    </xdr:from>
    <xdr:to>
      <xdr:col>3</xdr:col>
      <xdr:colOff>771525</xdr:colOff>
      <xdr:row>8</xdr:row>
      <xdr:rowOff>47625</xdr:rowOff>
    </xdr:to>
    <xdr:pic>
      <xdr:nvPicPr>
        <xdr:cNvPr id="58511" name="Picture 32"/>
        <xdr:cNvPicPr>
          <a:picLocks noChangeAspect="1" noChangeArrowheads="1"/>
        </xdr:cNvPicPr>
      </xdr:nvPicPr>
      <xdr:blipFill>
        <a:blip xmlns:r="http://schemas.openxmlformats.org/officeDocument/2006/relationships" r:embed="rId3" cstate="print"/>
        <a:srcRect/>
        <a:stretch>
          <a:fillRect/>
        </a:stretch>
      </xdr:blipFill>
      <xdr:spPr bwMode="auto">
        <a:xfrm>
          <a:off x="5314950" y="76200"/>
          <a:ext cx="657225" cy="1266825"/>
        </a:xfrm>
        <a:prstGeom prst="rect">
          <a:avLst/>
        </a:prstGeom>
        <a:noFill/>
        <a:ln w="9525">
          <a:noFill/>
          <a:miter lim="800000"/>
          <a:headEnd/>
          <a:tailEnd/>
        </a:ln>
      </xdr:spPr>
    </xdr:pic>
    <xdr:clientData/>
  </xdr:twoCellAnchor>
  <xdr:twoCellAnchor editAs="oneCell">
    <xdr:from>
      <xdr:col>1</xdr:col>
      <xdr:colOff>1962150</xdr:colOff>
      <xdr:row>18</xdr:row>
      <xdr:rowOff>152400</xdr:rowOff>
    </xdr:from>
    <xdr:to>
      <xdr:col>1</xdr:col>
      <xdr:colOff>3162300</xdr:colOff>
      <xdr:row>25</xdr:row>
      <xdr:rowOff>66675</xdr:rowOff>
    </xdr:to>
    <xdr:pic>
      <xdr:nvPicPr>
        <xdr:cNvPr id="58512" name="Picture 34"/>
        <xdr:cNvPicPr>
          <a:picLocks noChangeAspect="1" noChangeArrowheads="1"/>
        </xdr:cNvPicPr>
      </xdr:nvPicPr>
      <xdr:blipFill>
        <a:blip xmlns:r="http://schemas.openxmlformats.org/officeDocument/2006/relationships" r:embed="rId4" cstate="print"/>
        <a:srcRect/>
        <a:stretch>
          <a:fillRect/>
        </a:stretch>
      </xdr:blipFill>
      <xdr:spPr bwMode="auto">
        <a:xfrm>
          <a:off x="2876550" y="3781425"/>
          <a:ext cx="1200150" cy="1047750"/>
        </a:xfrm>
        <a:prstGeom prst="rect">
          <a:avLst/>
        </a:prstGeom>
        <a:noFill/>
        <a:ln w="9525">
          <a:noFill/>
          <a:miter lim="800000"/>
          <a:headEnd/>
          <a:tailEnd/>
        </a:ln>
      </xdr:spPr>
    </xdr:pic>
    <xdr:clientData/>
  </xdr:twoCellAnchor>
  <xdr:twoCellAnchor editAs="oneCell">
    <xdr:from>
      <xdr:col>1</xdr:col>
      <xdr:colOff>104775</xdr:colOff>
      <xdr:row>18</xdr:row>
      <xdr:rowOff>76200</xdr:rowOff>
    </xdr:from>
    <xdr:to>
      <xdr:col>1</xdr:col>
      <xdr:colOff>1647825</xdr:colOff>
      <xdr:row>25</xdr:row>
      <xdr:rowOff>85725</xdr:rowOff>
    </xdr:to>
    <xdr:pic>
      <xdr:nvPicPr>
        <xdr:cNvPr id="58513" name="Picture 35"/>
        <xdr:cNvPicPr>
          <a:picLocks noChangeAspect="1" noChangeArrowheads="1"/>
        </xdr:cNvPicPr>
      </xdr:nvPicPr>
      <xdr:blipFill>
        <a:blip xmlns:r="http://schemas.openxmlformats.org/officeDocument/2006/relationships" r:embed="rId5" cstate="print"/>
        <a:srcRect/>
        <a:stretch>
          <a:fillRect/>
        </a:stretch>
      </xdr:blipFill>
      <xdr:spPr bwMode="auto">
        <a:xfrm>
          <a:off x="1019175" y="3705225"/>
          <a:ext cx="1543050" cy="1143000"/>
        </a:xfrm>
        <a:prstGeom prst="rect">
          <a:avLst/>
        </a:prstGeom>
        <a:noFill/>
        <a:ln w="9525">
          <a:noFill/>
          <a:miter lim="800000"/>
          <a:headEnd/>
          <a:tailEnd/>
        </a:ln>
      </xdr:spPr>
    </xdr:pic>
    <xdr:clientData/>
  </xdr:twoCellAnchor>
  <xdr:twoCellAnchor editAs="oneCell">
    <xdr:from>
      <xdr:col>1</xdr:col>
      <xdr:colOff>752475</xdr:colOff>
      <xdr:row>14</xdr:row>
      <xdr:rowOff>57150</xdr:rowOff>
    </xdr:from>
    <xdr:to>
      <xdr:col>1</xdr:col>
      <xdr:colOff>1219200</xdr:colOff>
      <xdr:row>16</xdr:row>
      <xdr:rowOff>619125</xdr:rowOff>
    </xdr:to>
    <xdr:pic>
      <xdr:nvPicPr>
        <xdr:cNvPr id="58514" name="Picture 36"/>
        <xdr:cNvPicPr>
          <a:picLocks noChangeAspect="1" noChangeArrowheads="1"/>
        </xdr:cNvPicPr>
      </xdr:nvPicPr>
      <xdr:blipFill>
        <a:blip xmlns:r="http://schemas.openxmlformats.org/officeDocument/2006/relationships" r:embed="rId6" cstate="print"/>
        <a:srcRect/>
        <a:stretch>
          <a:fillRect/>
        </a:stretch>
      </xdr:blipFill>
      <xdr:spPr bwMode="auto">
        <a:xfrm>
          <a:off x="1666875" y="2428875"/>
          <a:ext cx="466725" cy="885825"/>
        </a:xfrm>
        <a:prstGeom prst="rect">
          <a:avLst/>
        </a:prstGeom>
        <a:noFill/>
        <a:ln w="9525">
          <a:noFill/>
          <a:miter lim="800000"/>
          <a:headEnd/>
          <a:tailEnd/>
        </a:ln>
      </xdr:spPr>
    </xdr:pic>
    <xdr:clientData/>
  </xdr:twoCellAnchor>
  <xdr:twoCellAnchor>
    <xdr:from>
      <xdr:col>3</xdr:col>
      <xdr:colOff>866775</xdr:colOff>
      <xdr:row>0</xdr:row>
      <xdr:rowOff>95250</xdr:rowOff>
    </xdr:from>
    <xdr:to>
      <xdr:col>4</xdr:col>
      <xdr:colOff>1219200</xdr:colOff>
      <xdr:row>7</xdr:row>
      <xdr:rowOff>142875</xdr:rowOff>
    </xdr:to>
    <xdr:sp macro="" textlink="">
      <xdr:nvSpPr>
        <xdr:cNvPr id="58405" name="Text Box 37"/>
        <xdr:cNvSpPr txBox="1">
          <a:spLocks noChangeArrowheads="1"/>
        </xdr:cNvSpPr>
      </xdr:nvSpPr>
      <xdr:spPr bwMode="auto">
        <a:xfrm>
          <a:off x="6067425" y="95250"/>
          <a:ext cx="1428750" cy="1181100"/>
        </a:xfrm>
        <a:prstGeom prst="rect">
          <a:avLst/>
        </a:prstGeom>
        <a:solidFill>
          <a:srgbClr val="FFFF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1000" b="1" i="0" u="none" strike="noStrike" baseline="0">
              <a:solidFill>
                <a:srgbClr val="000000"/>
              </a:solidFill>
              <a:latin typeface="Arial"/>
              <a:cs typeface="Arial"/>
            </a:rPr>
            <a:t>NOTE: The Choker Hitch values shown are based on ASME B30.9 9-1.5.4 that is rated for an angle of choke greater than 120°</a:t>
          </a:r>
        </a:p>
      </xdr:txBody>
    </xdr:sp>
    <xdr:clientData/>
  </xdr:twoCellAnchor>
  <xdr:twoCellAnchor editAs="absolute">
    <xdr:from>
      <xdr:col>0</xdr:col>
      <xdr:colOff>47625</xdr:colOff>
      <xdr:row>0</xdr:row>
      <xdr:rowOff>66675</xdr:rowOff>
    </xdr:from>
    <xdr:to>
      <xdr:col>1</xdr:col>
      <xdr:colOff>28575</xdr:colOff>
      <xdr:row>1</xdr:row>
      <xdr:rowOff>133350</xdr:rowOff>
    </xdr:to>
    <xdr:pic>
      <xdr:nvPicPr>
        <xdr:cNvPr id="58516" name="Picture 44">
          <a:hlinkClick xmlns:r="http://schemas.openxmlformats.org/officeDocument/2006/relationships" r:id="rId7" tooltip="Return to Main Menu"/>
        </xdr:cNvPr>
        <xdr:cNvPicPr>
          <a:picLocks noChangeAspect="1" noChangeArrowheads="1"/>
        </xdr:cNvPicPr>
      </xdr:nvPicPr>
      <xdr:blipFill>
        <a:blip xmlns:r="http://schemas.openxmlformats.org/officeDocument/2006/relationships" r:embed="rId8" cstate="print"/>
        <a:srcRect/>
        <a:stretch>
          <a:fillRect/>
        </a:stretch>
      </xdr:blipFill>
      <xdr:spPr bwMode="auto">
        <a:xfrm>
          <a:off x="47625" y="6667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1</xdr:row>
      <xdr:rowOff>142875</xdr:rowOff>
    </xdr:from>
    <xdr:to>
      <xdr:col>1</xdr:col>
      <xdr:colOff>28575</xdr:colOff>
      <xdr:row>3</xdr:row>
      <xdr:rowOff>47625</xdr:rowOff>
    </xdr:to>
    <xdr:pic>
      <xdr:nvPicPr>
        <xdr:cNvPr id="58517" name="Picture 45">
          <a:hlinkClick xmlns:r="http://schemas.openxmlformats.org/officeDocument/2006/relationships" r:id="rId9" tooltip="Go To Master Index"/>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7625" y="304800"/>
          <a:ext cx="895350" cy="228600"/>
        </a:xfrm>
        <a:prstGeom prst="rect">
          <a:avLst/>
        </a:prstGeom>
        <a:noFill/>
        <a:ln w="9525">
          <a:noFill/>
          <a:miter lim="800000"/>
          <a:headEnd/>
          <a:tailEnd/>
        </a:ln>
      </xdr:spPr>
    </xdr:pic>
    <xdr:clientData fPrintsWithSheet="0"/>
  </xdr:twoCellAnchor>
  <xdr:twoCellAnchor editAs="absolute">
    <xdr:from>
      <xdr:col>0</xdr:col>
      <xdr:colOff>47625</xdr:colOff>
      <xdr:row>3</xdr:row>
      <xdr:rowOff>76200</xdr:rowOff>
    </xdr:from>
    <xdr:to>
      <xdr:col>1</xdr:col>
      <xdr:colOff>28575</xdr:colOff>
      <xdr:row>4</xdr:row>
      <xdr:rowOff>142875</xdr:rowOff>
    </xdr:to>
    <xdr:pic>
      <xdr:nvPicPr>
        <xdr:cNvPr id="58518" name="Picture 46">
          <a:hlinkClick xmlns:r="http://schemas.openxmlformats.org/officeDocument/2006/relationships" r:id="rId11" tooltip="Go To Weights Menu"/>
        </xdr:cNvPr>
        <xdr:cNvPicPr>
          <a:picLocks noChangeAspect="1" noChangeArrowheads="1"/>
        </xdr:cNvPicPr>
      </xdr:nvPicPr>
      <xdr:blipFill>
        <a:blip xmlns:r="http://schemas.openxmlformats.org/officeDocument/2006/relationships" r:embed="rId12" cstate="print"/>
        <a:srcRect/>
        <a:stretch>
          <a:fillRect/>
        </a:stretch>
      </xdr:blipFill>
      <xdr:spPr bwMode="auto">
        <a:xfrm>
          <a:off x="47625" y="56197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4</xdr:row>
      <xdr:rowOff>142875</xdr:rowOff>
    </xdr:from>
    <xdr:to>
      <xdr:col>1</xdr:col>
      <xdr:colOff>28575</xdr:colOff>
      <xdr:row>6</xdr:row>
      <xdr:rowOff>47625</xdr:rowOff>
    </xdr:to>
    <xdr:pic>
      <xdr:nvPicPr>
        <xdr:cNvPr id="58519" name="Picture 47">
          <a:hlinkClick xmlns:r="http://schemas.openxmlformats.org/officeDocument/2006/relationships" r:id="rId13" tooltip="Go To Tensions Menu"/>
        </xdr:cNvPr>
        <xdr:cNvPicPr>
          <a:picLocks noChangeAspect="1" noChangeArrowheads="1"/>
        </xdr:cNvPicPr>
      </xdr:nvPicPr>
      <xdr:blipFill>
        <a:blip xmlns:r="http://schemas.openxmlformats.org/officeDocument/2006/relationships" r:embed="rId14" cstate="print"/>
        <a:srcRect/>
        <a:stretch>
          <a:fillRect/>
        </a:stretch>
      </xdr:blipFill>
      <xdr:spPr bwMode="auto">
        <a:xfrm>
          <a:off x="47625" y="79057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6</xdr:row>
      <xdr:rowOff>47625</xdr:rowOff>
    </xdr:from>
    <xdr:to>
      <xdr:col>1</xdr:col>
      <xdr:colOff>28575</xdr:colOff>
      <xdr:row>7</xdr:row>
      <xdr:rowOff>114300</xdr:rowOff>
    </xdr:to>
    <xdr:pic>
      <xdr:nvPicPr>
        <xdr:cNvPr id="58520" name="Picture 48">
          <a:hlinkClick xmlns:r="http://schemas.openxmlformats.org/officeDocument/2006/relationships" r:id="rId15" tooltip="Go To Equipment Menu"/>
        </xdr:cNvPr>
        <xdr:cNvPicPr>
          <a:picLocks noChangeAspect="1" noChangeArrowheads="1"/>
        </xdr:cNvPicPr>
      </xdr:nvPicPr>
      <xdr:blipFill>
        <a:blip xmlns:r="http://schemas.openxmlformats.org/officeDocument/2006/relationships" r:embed="rId16" cstate="print"/>
        <a:srcRect/>
        <a:stretch>
          <a:fillRect/>
        </a:stretch>
      </xdr:blipFill>
      <xdr:spPr bwMode="auto">
        <a:xfrm>
          <a:off x="47625" y="1019175"/>
          <a:ext cx="895350" cy="228600"/>
        </a:xfrm>
        <a:prstGeom prst="rect">
          <a:avLst/>
        </a:prstGeom>
        <a:noFill/>
        <a:ln w="9525">
          <a:noFill/>
          <a:miter lim="800000"/>
          <a:headEnd/>
          <a:tailEnd/>
        </a:ln>
      </xdr:spPr>
    </xdr:pic>
    <xdr:clientData fPrintsWithSheet="0"/>
  </xdr:twoCellAnchor>
  <xdr:twoCellAnchor editAs="absolute">
    <xdr:from>
      <xdr:col>0</xdr:col>
      <xdr:colOff>114300</xdr:colOff>
      <xdr:row>7</xdr:row>
      <xdr:rowOff>142875</xdr:rowOff>
    </xdr:from>
    <xdr:to>
      <xdr:col>0</xdr:col>
      <xdr:colOff>342900</xdr:colOff>
      <xdr:row>9</xdr:row>
      <xdr:rowOff>47625</xdr:rowOff>
    </xdr:to>
    <xdr:pic>
      <xdr:nvPicPr>
        <xdr:cNvPr id="58521" name="Picture 49" descr="Code Information">
          <a:hlinkClick xmlns:r="http://schemas.openxmlformats.org/officeDocument/2006/relationships" r:id="rId17" tooltip="Code Information"/>
        </xdr:cNvPr>
        <xdr:cNvPicPr>
          <a:picLocks noChangeAspect="1" noChangeArrowheads="1"/>
        </xdr:cNvPicPr>
      </xdr:nvPicPr>
      <xdr:blipFill>
        <a:blip xmlns:r="http://schemas.openxmlformats.org/officeDocument/2006/relationships" r:embed="rId18" cstate="print"/>
        <a:srcRect/>
        <a:stretch>
          <a:fillRect/>
        </a:stretch>
      </xdr:blipFill>
      <xdr:spPr bwMode="auto">
        <a:xfrm>
          <a:off x="114300" y="1276350"/>
          <a:ext cx="228600" cy="228600"/>
        </a:xfrm>
        <a:prstGeom prst="rect">
          <a:avLst/>
        </a:prstGeom>
        <a:noFill/>
        <a:ln w="9525">
          <a:noFill/>
          <a:miter lim="800000"/>
          <a:headEnd/>
          <a:tailEnd/>
        </a:ln>
      </xdr:spPr>
    </xdr:pic>
    <xdr:clientData fPrintsWithSheet="0"/>
  </xdr:twoCellAnchor>
  <xdr:twoCellAnchor editAs="absolute">
    <xdr:from>
      <xdr:col>0</xdr:col>
      <xdr:colOff>371475</xdr:colOff>
      <xdr:row>7</xdr:row>
      <xdr:rowOff>142875</xdr:rowOff>
    </xdr:from>
    <xdr:to>
      <xdr:col>0</xdr:col>
      <xdr:colOff>600075</xdr:colOff>
      <xdr:row>9</xdr:row>
      <xdr:rowOff>47625</xdr:rowOff>
    </xdr:to>
    <xdr:pic>
      <xdr:nvPicPr>
        <xdr:cNvPr id="58522" name="Picture 50" descr="help">
          <a:hlinkClick xmlns:r="http://schemas.openxmlformats.org/officeDocument/2006/relationships" r:id="rId19" tooltip="Help"/>
        </xdr:cNvPr>
        <xdr:cNvPicPr>
          <a:picLocks noChangeAspect="1" noChangeArrowheads="1"/>
        </xdr:cNvPicPr>
      </xdr:nvPicPr>
      <xdr:blipFill>
        <a:blip xmlns:r="http://schemas.openxmlformats.org/officeDocument/2006/relationships" r:embed="rId20" cstate="print"/>
        <a:srcRect/>
        <a:stretch>
          <a:fillRect/>
        </a:stretch>
      </xdr:blipFill>
      <xdr:spPr bwMode="auto">
        <a:xfrm>
          <a:off x="371475" y="1276350"/>
          <a:ext cx="228600" cy="228600"/>
        </a:xfrm>
        <a:prstGeom prst="rect">
          <a:avLst/>
        </a:prstGeom>
        <a:noFill/>
        <a:ln w="9525">
          <a:noFill/>
          <a:miter lim="800000"/>
          <a:headEnd/>
          <a:tailEnd/>
        </a:ln>
      </xdr:spPr>
    </xdr:pic>
    <xdr:clientData fPrintsWithSheet="0"/>
  </xdr:twoCellAnchor>
  <xdr:twoCellAnchor editAs="absolute">
    <xdr:from>
      <xdr:col>0</xdr:col>
      <xdr:colOff>638175</xdr:colOff>
      <xdr:row>7</xdr:row>
      <xdr:rowOff>142875</xdr:rowOff>
    </xdr:from>
    <xdr:to>
      <xdr:col>0</xdr:col>
      <xdr:colOff>866775</xdr:colOff>
      <xdr:row>9</xdr:row>
      <xdr:rowOff>47625</xdr:rowOff>
    </xdr:to>
    <xdr:pic>
      <xdr:nvPicPr>
        <xdr:cNvPr id="58523" name="Picture 51" descr="star">
          <a:hlinkClick xmlns:r="http://schemas.openxmlformats.org/officeDocument/2006/relationships" r:id="rId21" tooltip="Conversions"/>
        </xdr:cNvPr>
        <xdr:cNvPicPr>
          <a:picLocks noChangeAspect="1" noChangeArrowheads="1"/>
        </xdr:cNvPicPr>
      </xdr:nvPicPr>
      <xdr:blipFill>
        <a:blip xmlns:r="http://schemas.openxmlformats.org/officeDocument/2006/relationships" r:embed="rId22" cstate="print"/>
        <a:srcRect/>
        <a:stretch>
          <a:fillRect/>
        </a:stretch>
      </xdr:blipFill>
      <xdr:spPr bwMode="auto">
        <a:xfrm>
          <a:off x="638175" y="1276350"/>
          <a:ext cx="228600" cy="22860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editAs="oneCell">
        <xdr:from>
          <xdr:col>1</xdr:col>
          <xdr:colOff>314325</xdr:colOff>
          <xdr:row>10</xdr:row>
          <xdr:rowOff>28575</xdr:rowOff>
        </xdr:from>
        <xdr:to>
          <xdr:col>1</xdr:col>
          <xdr:colOff>3076575</xdr:colOff>
          <xdr:row>11</xdr:row>
          <xdr:rowOff>57150</xdr:rowOff>
        </xdr:to>
        <xdr:sp macro="" textlink="">
          <xdr:nvSpPr>
            <xdr:cNvPr id="58387" name="Drop Down 19" hidden="1">
              <a:extLst>
                <a:ext uri="{63B3BB69-23CF-44E3-9099-C40C66FF867C}">
                  <a14:compatExt spid="_x0000_s583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152400</xdr:colOff>
          <xdr:row>2</xdr:row>
          <xdr:rowOff>114300</xdr:rowOff>
        </xdr:from>
        <xdr:to>
          <xdr:col>1</xdr:col>
          <xdr:colOff>1228725</xdr:colOff>
          <xdr:row>4</xdr:row>
          <xdr:rowOff>57150</xdr:rowOff>
        </xdr:to>
        <xdr:grpSp>
          <xdr:nvGrpSpPr>
            <xdr:cNvPr id="58372" name="Group 4"/>
            <xdr:cNvGrpSpPr>
              <a:grpSpLocks/>
            </xdr:cNvGrpSpPr>
          </xdr:nvGrpSpPr>
          <xdr:grpSpPr bwMode="auto">
            <a:xfrm>
              <a:off x="1066800" y="438150"/>
              <a:ext cx="1076325" cy="266700"/>
              <a:chOff x="181" y="50"/>
              <a:chExt cx="113" cy="28"/>
            </a:xfrm>
          </xdr:grpSpPr>
          <xdr:sp macro="" textlink="">
            <xdr:nvSpPr>
              <xdr:cNvPr id="58373" name="Option Button 5" hidden="1">
                <a:extLst>
                  <a:ext uri="{63B3BB69-23CF-44E3-9099-C40C66FF867C}">
                    <a14:compatExt spid="_x0000_s58373"/>
                  </a:ext>
                </a:extLst>
              </xdr:cNvPr>
              <xdr:cNvSpPr/>
            </xdr:nvSpPr>
            <xdr:spPr>
              <a:xfrm>
                <a:off x="185" y="55"/>
                <a:ext cx="46"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lbs</a:t>
                </a:r>
              </a:p>
            </xdr:txBody>
          </xdr:sp>
          <xdr:grpSp>
            <xdr:nvGrpSpPr>
              <xdr:cNvPr id="58374" name="Group 6"/>
              <xdr:cNvGrpSpPr>
                <a:grpSpLocks/>
              </xdr:cNvGrpSpPr>
            </xdr:nvGrpSpPr>
            <xdr:grpSpPr bwMode="auto">
              <a:xfrm>
                <a:off x="181" y="50"/>
                <a:ext cx="113" cy="28"/>
                <a:chOff x="181" y="50"/>
                <a:chExt cx="113" cy="28"/>
              </a:xfrm>
            </xdr:grpSpPr>
            <xdr:sp macro="" textlink="">
              <xdr:nvSpPr>
                <xdr:cNvPr id="58375" name="Option Button 7" hidden="1">
                  <a:extLst>
                    <a:ext uri="{63B3BB69-23CF-44E3-9099-C40C66FF867C}">
                      <a14:compatExt spid="_x0000_s58375"/>
                    </a:ext>
                  </a:extLst>
                </xdr:cNvPr>
                <xdr:cNvSpPr/>
              </xdr:nvSpPr>
              <xdr:spPr>
                <a:xfrm>
                  <a:off x="229" y="55"/>
                  <a:ext cx="57"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kgs</a:t>
                  </a:r>
                </a:p>
              </xdr:txBody>
            </xdr:sp>
            <xdr:sp macro="" textlink="">
              <xdr:nvSpPr>
                <xdr:cNvPr id="58376" name="Group Box 8" hidden="1">
                  <a:extLst>
                    <a:ext uri="{63B3BB69-23CF-44E3-9099-C40C66FF867C}">
                      <a14:compatExt spid="_x0000_s58376"/>
                    </a:ext>
                  </a:extLst>
                </xdr:cNvPr>
                <xdr:cNvSpPr/>
              </xdr:nvSpPr>
              <xdr:spPr>
                <a:xfrm>
                  <a:off x="181" y="50"/>
                  <a:ext cx="113" cy="28"/>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Show Capacity in:</a:t>
                  </a:r>
                </a:p>
              </xdr:txBody>
            </xdr:sp>
          </xdr:grp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absolute">
    <xdr:from>
      <xdr:col>0</xdr:col>
      <xdr:colOff>66675</xdr:colOff>
      <xdr:row>0</xdr:row>
      <xdr:rowOff>47625</xdr:rowOff>
    </xdr:from>
    <xdr:to>
      <xdr:col>1</xdr:col>
      <xdr:colOff>552450</xdr:colOff>
      <xdr:row>0</xdr:row>
      <xdr:rowOff>276225</xdr:rowOff>
    </xdr:to>
    <xdr:pic>
      <xdr:nvPicPr>
        <xdr:cNvPr id="70699" name="Picture 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66675" y="47625"/>
          <a:ext cx="847725" cy="228600"/>
        </a:xfrm>
        <a:prstGeom prst="rect">
          <a:avLst/>
        </a:prstGeom>
        <a:noFill/>
        <a:ln w="9525">
          <a:noFill/>
          <a:miter lim="800000"/>
          <a:headEnd/>
          <a:tailEnd/>
        </a:ln>
      </xdr:spPr>
    </xdr:pic>
    <xdr:clientData fPrintsWithSheet="0"/>
  </xdr:twoCellAnchor>
  <xdr:twoCellAnchor editAs="absolute">
    <xdr:from>
      <xdr:col>0</xdr:col>
      <xdr:colOff>38100</xdr:colOff>
      <xdr:row>6</xdr:row>
      <xdr:rowOff>9525</xdr:rowOff>
    </xdr:from>
    <xdr:to>
      <xdr:col>1</xdr:col>
      <xdr:colOff>523875</xdr:colOff>
      <xdr:row>7</xdr:row>
      <xdr:rowOff>76200</xdr:rowOff>
    </xdr:to>
    <xdr:pic>
      <xdr:nvPicPr>
        <xdr:cNvPr id="70700" name="Picture 3">
          <a:hlinkClick xmlns:r="http://schemas.openxmlformats.org/officeDocument/2006/relationships" r:id="rId3" tooltip="Weights menu"/>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100" y="1047750"/>
          <a:ext cx="847725" cy="228600"/>
        </a:xfrm>
        <a:prstGeom prst="rect">
          <a:avLst/>
        </a:prstGeom>
        <a:noFill/>
        <a:ln w="9525">
          <a:noFill/>
          <a:miter lim="800000"/>
          <a:headEnd/>
          <a:tailEnd/>
        </a:ln>
      </xdr:spPr>
    </xdr:pic>
    <xdr:clientData fPrintsWithSheet="0"/>
  </xdr:twoCellAnchor>
  <xdr:twoCellAnchor editAs="absolute">
    <xdr:from>
      <xdr:col>0</xdr:col>
      <xdr:colOff>66675</xdr:colOff>
      <xdr:row>19</xdr:row>
      <xdr:rowOff>9525</xdr:rowOff>
    </xdr:from>
    <xdr:to>
      <xdr:col>1</xdr:col>
      <xdr:colOff>552450</xdr:colOff>
      <xdr:row>20</xdr:row>
      <xdr:rowOff>76200</xdr:rowOff>
    </xdr:to>
    <xdr:pic>
      <xdr:nvPicPr>
        <xdr:cNvPr id="70701" name="Picture 4">
          <a:hlinkClick xmlns:r="http://schemas.openxmlformats.org/officeDocument/2006/relationships" r:id="rId5" tooltip="Tensions menu"/>
        </xdr:cNvPr>
        <xdr:cNvPicPr>
          <a:picLocks noChangeAspect="1" noChangeArrowheads="1"/>
        </xdr:cNvPicPr>
      </xdr:nvPicPr>
      <xdr:blipFill>
        <a:blip xmlns:r="http://schemas.openxmlformats.org/officeDocument/2006/relationships" r:embed="rId6" cstate="print"/>
        <a:srcRect/>
        <a:stretch>
          <a:fillRect/>
        </a:stretch>
      </xdr:blipFill>
      <xdr:spPr bwMode="auto">
        <a:xfrm>
          <a:off x="66675" y="3162300"/>
          <a:ext cx="847725" cy="228600"/>
        </a:xfrm>
        <a:prstGeom prst="rect">
          <a:avLst/>
        </a:prstGeom>
        <a:noFill/>
        <a:ln w="9525">
          <a:noFill/>
          <a:miter lim="800000"/>
          <a:headEnd/>
          <a:tailEnd/>
        </a:ln>
      </xdr:spPr>
    </xdr:pic>
    <xdr:clientData fPrintsWithSheet="0"/>
  </xdr:twoCellAnchor>
  <xdr:twoCellAnchor editAs="absolute">
    <xdr:from>
      <xdr:col>3</xdr:col>
      <xdr:colOff>114300</xdr:colOff>
      <xdr:row>15</xdr:row>
      <xdr:rowOff>133350</xdr:rowOff>
    </xdr:from>
    <xdr:to>
      <xdr:col>3</xdr:col>
      <xdr:colOff>962025</xdr:colOff>
      <xdr:row>17</xdr:row>
      <xdr:rowOff>38100</xdr:rowOff>
    </xdr:to>
    <xdr:pic>
      <xdr:nvPicPr>
        <xdr:cNvPr id="70702" name="Picture 5">
          <a:hlinkClick xmlns:r="http://schemas.openxmlformats.org/officeDocument/2006/relationships" r:id="rId7" tooltip="Equipmet menu"/>
        </xdr:cNvPr>
        <xdr:cNvPicPr>
          <a:picLocks noChangeAspect="1" noChangeArrowheads="1"/>
        </xdr:cNvPicPr>
      </xdr:nvPicPr>
      <xdr:blipFill>
        <a:blip xmlns:r="http://schemas.openxmlformats.org/officeDocument/2006/relationships" r:embed="rId8" cstate="print"/>
        <a:srcRect/>
        <a:stretch>
          <a:fillRect/>
        </a:stretch>
      </xdr:blipFill>
      <xdr:spPr bwMode="auto">
        <a:xfrm>
          <a:off x="3676650" y="2638425"/>
          <a:ext cx="847725" cy="228600"/>
        </a:xfrm>
        <a:prstGeom prst="rect">
          <a:avLst/>
        </a:prstGeom>
        <a:noFill/>
        <a:ln w="9525">
          <a:noFill/>
          <a:miter lim="800000"/>
          <a:headEnd/>
          <a:tailEnd/>
        </a:ln>
      </xdr:spPr>
    </xdr:pic>
    <xdr:clientData fPrintsWithSheet="0"/>
  </xdr:twoCellAnchor>
  <xdr:twoCellAnchor editAs="absolute">
    <xdr:from>
      <xdr:col>0</xdr:col>
      <xdr:colOff>76200</xdr:colOff>
      <xdr:row>27</xdr:row>
      <xdr:rowOff>28575</xdr:rowOff>
    </xdr:from>
    <xdr:to>
      <xdr:col>0</xdr:col>
      <xdr:colOff>304800</xdr:colOff>
      <xdr:row>28</xdr:row>
      <xdr:rowOff>95250</xdr:rowOff>
    </xdr:to>
    <xdr:pic>
      <xdr:nvPicPr>
        <xdr:cNvPr id="70703" name="Picture 7" descr="Code Information">
          <a:hlinkClick xmlns:r="http://schemas.openxmlformats.org/officeDocument/2006/relationships" r:id="rId9" tooltip="Code Information"/>
        </xdr:cNvPr>
        <xdr:cNvPicPr>
          <a:picLocks noChangeAspect="1" noChangeArrowheads="1"/>
        </xdr:cNvPicPr>
      </xdr:nvPicPr>
      <xdr:blipFill>
        <a:blip xmlns:r="http://schemas.openxmlformats.org/officeDocument/2006/relationships" r:embed="rId10" cstate="print"/>
        <a:srcRect/>
        <a:stretch>
          <a:fillRect/>
        </a:stretch>
      </xdr:blipFill>
      <xdr:spPr bwMode="auto">
        <a:xfrm>
          <a:off x="76200" y="4486275"/>
          <a:ext cx="228600" cy="228600"/>
        </a:xfrm>
        <a:prstGeom prst="rect">
          <a:avLst/>
        </a:prstGeom>
        <a:noFill/>
        <a:ln w="9525">
          <a:noFill/>
          <a:miter lim="800000"/>
          <a:headEnd/>
          <a:tailEnd/>
        </a:ln>
      </xdr:spPr>
    </xdr:pic>
    <xdr:clientData fPrintsWithSheet="0"/>
  </xdr:twoCellAnchor>
  <xdr:twoCellAnchor editAs="absolute">
    <xdr:from>
      <xdr:col>0</xdr:col>
      <xdr:colOff>333375</xdr:colOff>
      <xdr:row>27</xdr:row>
      <xdr:rowOff>28575</xdr:rowOff>
    </xdr:from>
    <xdr:to>
      <xdr:col>1</xdr:col>
      <xdr:colOff>200025</xdr:colOff>
      <xdr:row>28</xdr:row>
      <xdr:rowOff>95250</xdr:rowOff>
    </xdr:to>
    <xdr:pic>
      <xdr:nvPicPr>
        <xdr:cNvPr id="70704" name="Picture 8" descr="help">
          <a:hlinkClick xmlns:r="http://schemas.openxmlformats.org/officeDocument/2006/relationships" r:id="rId11" tooltip="Help"/>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33375" y="4486275"/>
          <a:ext cx="228600" cy="228600"/>
        </a:xfrm>
        <a:prstGeom prst="rect">
          <a:avLst/>
        </a:prstGeom>
        <a:noFill/>
        <a:ln w="9525">
          <a:noFill/>
          <a:miter lim="800000"/>
          <a:headEnd/>
          <a:tailEnd/>
        </a:ln>
      </xdr:spPr>
    </xdr:pic>
    <xdr:clientData fPrintsWithSheet="0"/>
  </xdr:twoCellAnchor>
  <xdr:twoCellAnchor editAs="absolute">
    <xdr:from>
      <xdr:col>1</xdr:col>
      <xdr:colOff>238125</xdr:colOff>
      <xdr:row>27</xdr:row>
      <xdr:rowOff>28575</xdr:rowOff>
    </xdr:from>
    <xdr:to>
      <xdr:col>1</xdr:col>
      <xdr:colOff>466725</xdr:colOff>
      <xdr:row>28</xdr:row>
      <xdr:rowOff>95250</xdr:rowOff>
    </xdr:to>
    <xdr:pic>
      <xdr:nvPicPr>
        <xdr:cNvPr id="70705" name="Picture 9" descr="star">
          <a:hlinkClick xmlns:r="http://schemas.openxmlformats.org/officeDocument/2006/relationships" r:id="rId13" tooltip="Conversions"/>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00075" y="4486275"/>
          <a:ext cx="228600" cy="228600"/>
        </a:xfrm>
        <a:prstGeom prst="rect">
          <a:avLst/>
        </a:prstGeom>
        <a:noFill/>
        <a:ln w="9525">
          <a:noFill/>
          <a:miter lim="800000"/>
          <a:headEnd/>
          <a:tailEnd/>
        </a:ln>
      </xdr:spPr>
    </xdr:pic>
    <xdr:clientData fPrintsWithSheet="0"/>
  </xdr:twoCellAnchor>
  <xdr:twoCellAnchor editAs="oneCell">
    <xdr:from>
      <xdr:col>3</xdr:col>
      <xdr:colOff>1276350</xdr:colOff>
      <xdr:row>26</xdr:row>
      <xdr:rowOff>38100</xdr:rowOff>
    </xdr:from>
    <xdr:to>
      <xdr:col>4</xdr:col>
      <xdr:colOff>2381250</xdr:colOff>
      <xdr:row>29</xdr:row>
      <xdr:rowOff>95250</xdr:rowOff>
    </xdr:to>
    <xdr:sp macro="" textlink="">
      <xdr:nvSpPr>
        <xdr:cNvPr id="70666" name="Text 4"/>
        <xdr:cNvSpPr>
          <a:spLocks noChangeArrowheads="1"/>
        </xdr:cNvSpPr>
      </xdr:nvSpPr>
      <xdr:spPr bwMode="auto">
        <a:xfrm>
          <a:off x="4838700" y="4333875"/>
          <a:ext cx="2428875" cy="5429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en-GB" sz="1000" b="1" i="0" u="none" strike="noStrike" baseline="0">
              <a:solidFill>
                <a:srgbClr val="FF0000"/>
              </a:solidFill>
              <a:latin typeface="Arial"/>
              <a:cs typeface="Arial"/>
            </a:rPr>
            <a:t>All calculations must be verified by a qualified person.</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9525</xdr:colOff>
      <xdr:row>12</xdr:row>
      <xdr:rowOff>152400</xdr:rowOff>
    </xdr:from>
    <xdr:to>
      <xdr:col>1</xdr:col>
      <xdr:colOff>3181350</xdr:colOff>
      <xdr:row>14</xdr:row>
      <xdr:rowOff>38100</xdr:rowOff>
    </xdr:to>
    <xdr:sp macro="" textlink="">
      <xdr:nvSpPr>
        <xdr:cNvPr id="57382" name="Text Box 38"/>
        <xdr:cNvSpPr txBox="1">
          <a:spLocks noChangeArrowheads="1"/>
        </xdr:cNvSpPr>
      </xdr:nvSpPr>
      <xdr:spPr bwMode="auto">
        <a:xfrm>
          <a:off x="971550" y="2152650"/>
          <a:ext cx="3171825" cy="285750"/>
        </a:xfrm>
        <a:prstGeom prst="rect">
          <a:avLst/>
        </a:prstGeom>
        <a:solidFill>
          <a:srgbClr val="FFFF00"/>
        </a:solidFill>
        <a:ln w="9525">
          <a:noFill/>
          <a:miter lim="800000"/>
          <a:headEnd/>
          <a:tailEnd/>
        </a:ln>
      </xdr:spPr>
      <xdr:txBody>
        <a:bodyPr vertOverflow="clip" wrap="square" lIns="54864" tIns="22860" rIns="0" bIns="22860" anchor="ctr" upright="1"/>
        <a:lstStyle/>
        <a:p>
          <a:pPr algn="l" rtl="0">
            <a:defRPr sz="1000"/>
          </a:pPr>
          <a:r>
            <a:rPr lang="en-GB" sz="1000" b="1" i="0" u="none" strike="noStrike" baseline="0">
              <a:solidFill>
                <a:srgbClr val="000000"/>
              </a:solidFill>
              <a:latin typeface="Wingdings"/>
            </a:rPr>
            <a:t>è</a:t>
          </a:r>
        </a:p>
      </xdr:txBody>
    </xdr:sp>
    <xdr:clientData/>
  </xdr:twoCellAnchor>
  <xdr:twoCellAnchor editAs="absolute">
    <xdr:from>
      <xdr:col>1</xdr:col>
      <xdr:colOff>9525</xdr:colOff>
      <xdr:row>1</xdr:row>
      <xdr:rowOff>76200</xdr:rowOff>
    </xdr:from>
    <xdr:to>
      <xdr:col>1</xdr:col>
      <xdr:colOff>1257300</xdr:colOff>
      <xdr:row>4</xdr:row>
      <xdr:rowOff>123825</xdr:rowOff>
    </xdr:to>
    <xdr:grpSp>
      <xdr:nvGrpSpPr>
        <xdr:cNvPr id="57473" name="Group 2"/>
        <xdr:cNvGrpSpPr>
          <a:grpSpLocks/>
        </xdr:cNvGrpSpPr>
      </xdr:nvGrpSpPr>
      <xdr:grpSpPr bwMode="auto">
        <a:xfrm>
          <a:off x="971550" y="238125"/>
          <a:ext cx="1247775" cy="533400"/>
          <a:chOff x="871" y="339"/>
          <a:chExt cx="131" cy="56"/>
        </a:xfrm>
      </xdr:grpSpPr>
      <xdr:sp macro="" textlink="">
        <xdr:nvSpPr>
          <xdr:cNvPr id="57490" name="Rectangle 3"/>
          <xdr:cNvSpPr>
            <a:spLocks noChangeArrowheads="1"/>
          </xdr:cNvSpPr>
        </xdr:nvSpPr>
        <xdr:spPr bwMode="auto">
          <a:xfrm>
            <a:off x="871" y="339"/>
            <a:ext cx="131" cy="56"/>
          </a:xfrm>
          <a:prstGeom prst="rect">
            <a:avLst/>
          </a:prstGeom>
          <a:solidFill>
            <a:srgbClr val="FFFF99"/>
          </a:solidFill>
          <a:ln w="9525">
            <a:solidFill>
              <a:srgbClr val="000000"/>
            </a:solidFill>
            <a:miter lim="800000"/>
            <a:headEnd/>
            <a:tailEnd/>
          </a:ln>
        </xdr:spPr>
      </xdr:sp>
    </xdr:grpSp>
    <xdr:clientData fPrintsWithSheet="0"/>
  </xdr:twoCellAnchor>
  <xdr:twoCellAnchor>
    <xdr:from>
      <xdr:col>0</xdr:col>
      <xdr:colOff>1162050</xdr:colOff>
      <xdr:row>7</xdr:row>
      <xdr:rowOff>95250</xdr:rowOff>
    </xdr:from>
    <xdr:to>
      <xdr:col>5</xdr:col>
      <xdr:colOff>0</xdr:colOff>
      <xdr:row>15</xdr:row>
      <xdr:rowOff>28575</xdr:rowOff>
    </xdr:to>
    <xdr:sp macro="" textlink="">
      <xdr:nvSpPr>
        <xdr:cNvPr id="57474" name="Rectangle 20"/>
        <xdr:cNvSpPr>
          <a:spLocks noChangeArrowheads="1"/>
        </xdr:cNvSpPr>
      </xdr:nvSpPr>
      <xdr:spPr bwMode="auto">
        <a:xfrm>
          <a:off x="962025" y="1228725"/>
          <a:ext cx="6943725" cy="1362075"/>
        </a:xfrm>
        <a:prstGeom prst="rect">
          <a:avLst/>
        </a:prstGeom>
        <a:noFill/>
        <a:ln w="38100">
          <a:solidFill>
            <a:srgbClr val="000000"/>
          </a:solidFill>
          <a:miter lim="800000"/>
          <a:headEnd/>
          <a:tailEnd/>
        </a:ln>
      </xdr:spPr>
    </xdr:sp>
    <xdr:clientData/>
  </xdr:twoCellAnchor>
  <xdr:twoCellAnchor editAs="oneCell">
    <xdr:from>
      <xdr:col>1</xdr:col>
      <xdr:colOff>95250</xdr:colOff>
      <xdr:row>8</xdr:row>
      <xdr:rowOff>0</xdr:rowOff>
    </xdr:from>
    <xdr:to>
      <xdr:col>1</xdr:col>
      <xdr:colOff>3152775</xdr:colOff>
      <xdr:row>10</xdr:row>
      <xdr:rowOff>133350</xdr:rowOff>
    </xdr:to>
    <xdr:pic>
      <xdr:nvPicPr>
        <xdr:cNvPr id="57475" name="Picture 22"/>
        <xdr:cNvPicPr>
          <a:picLocks noChangeAspect="1" noChangeArrowheads="1"/>
        </xdr:cNvPicPr>
      </xdr:nvPicPr>
      <xdr:blipFill>
        <a:blip xmlns:r="http://schemas.openxmlformats.org/officeDocument/2006/relationships" r:embed="rId1" cstate="print"/>
        <a:srcRect/>
        <a:stretch>
          <a:fillRect/>
        </a:stretch>
      </xdr:blipFill>
      <xdr:spPr bwMode="auto">
        <a:xfrm>
          <a:off x="1057275" y="1295400"/>
          <a:ext cx="3057525" cy="476250"/>
        </a:xfrm>
        <a:prstGeom prst="rect">
          <a:avLst/>
        </a:prstGeom>
        <a:noFill/>
        <a:ln w="9525">
          <a:noFill/>
          <a:miter lim="800000"/>
          <a:headEnd/>
          <a:tailEnd/>
        </a:ln>
      </xdr:spPr>
    </xdr:pic>
    <xdr:clientData/>
  </xdr:twoCellAnchor>
  <xdr:twoCellAnchor>
    <xdr:from>
      <xdr:col>1</xdr:col>
      <xdr:colOff>1285875</xdr:colOff>
      <xdr:row>1</xdr:row>
      <xdr:rowOff>76200</xdr:rowOff>
    </xdr:from>
    <xdr:to>
      <xdr:col>2</xdr:col>
      <xdr:colOff>390525</xdr:colOff>
      <xdr:row>6</xdr:row>
      <xdr:rowOff>123825</xdr:rowOff>
    </xdr:to>
    <xdr:sp macro="" textlink="">
      <xdr:nvSpPr>
        <xdr:cNvPr id="57368" name="Text Box 24"/>
        <xdr:cNvSpPr txBox="1">
          <a:spLocks noChangeArrowheads="1"/>
        </xdr:cNvSpPr>
      </xdr:nvSpPr>
      <xdr:spPr bwMode="auto">
        <a:xfrm>
          <a:off x="2247900" y="238125"/>
          <a:ext cx="2295525" cy="8572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These are representative values only.</a:t>
          </a:r>
        </a:p>
        <a:p>
          <a:pPr algn="ctr" rtl="0">
            <a:defRPr sz="1000"/>
          </a:pPr>
          <a:endParaRPr lang="en-GB" sz="900" b="1" i="0" u="none" strike="noStrike" baseline="0">
            <a:solidFill>
              <a:srgbClr val="000000"/>
            </a:solidFill>
            <a:latin typeface="Arial"/>
            <a:cs typeface="Arial"/>
          </a:endParaRPr>
        </a:p>
        <a:p>
          <a:pPr algn="ctr" rtl="0">
            <a:defRPr sz="1000"/>
          </a:pPr>
          <a:r>
            <a:rPr lang="en-GB" sz="900" b="1" i="0" u="none" strike="noStrike" baseline="0">
              <a:solidFill>
                <a:srgbClr val="000000"/>
              </a:solidFill>
              <a:latin typeface="Arial"/>
              <a:cs typeface="Arial"/>
            </a:rPr>
            <a:t>ALWAYS check the tag of the sling BEFORE USING to verify the actual Working Load Limit of the sling!</a:t>
          </a:r>
        </a:p>
      </xdr:txBody>
    </xdr:sp>
    <xdr:clientData/>
  </xdr:twoCellAnchor>
  <xdr:twoCellAnchor>
    <xdr:from>
      <xdr:col>2</xdr:col>
      <xdr:colOff>180975</xdr:colOff>
      <xdr:row>7</xdr:row>
      <xdr:rowOff>0</xdr:rowOff>
    </xdr:from>
    <xdr:to>
      <xdr:col>4</xdr:col>
      <xdr:colOff>1133475</xdr:colOff>
      <xdr:row>7</xdr:row>
      <xdr:rowOff>0</xdr:rowOff>
    </xdr:to>
    <xdr:sp macro="" textlink="">
      <xdr:nvSpPr>
        <xdr:cNvPr id="57373" name="Text Box 29"/>
        <xdr:cNvSpPr txBox="1">
          <a:spLocks noChangeArrowheads="1"/>
        </xdr:cNvSpPr>
      </xdr:nvSpPr>
      <xdr:spPr bwMode="auto">
        <a:xfrm>
          <a:off x="4333875" y="1133475"/>
          <a:ext cx="337185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GB" sz="900" b="1" i="0" u="none" strike="noStrike" baseline="0">
              <a:solidFill>
                <a:srgbClr val="000000"/>
              </a:solidFill>
              <a:latin typeface="Arial"/>
              <a:cs typeface="Arial"/>
            </a:rPr>
            <a:t>Basket Hitch capacity is based on:</a:t>
          </a:r>
        </a:p>
        <a:p>
          <a:pPr algn="l" rtl="0">
            <a:defRPr sz="1000"/>
          </a:pPr>
          <a:r>
            <a:rPr lang="en-GB" sz="900" b="0" i="0" u="none" strike="noStrike" baseline="0">
              <a:solidFill>
                <a:srgbClr val="000000"/>
              </a:solidFill>
              <a:latin typeface="Arial"/>
              <a:cs typeface="Arial"/>
            </a:rPr>
            <a:t>D/d ratio is 20:1 AND sling legs within 5° of vertical</a:t>
          </a:r>
        </a:p>
        <a:p>
          <a:pPr algn="l" rtl="0">
            <a:defRPr sz="1000"/>
          </a:pPr>
          <a:r>
            <a:rPr lang="en-GB" sz="900" b="1" i="0" u="none" strike="noStrike" baseline="0">
              <a:solidFill>
                <a:srgbClr val="000000"/>
              </a:solidFill>
              <a:latin typeface="Arial"/>
              <a:cs typeface="Arial"/>
            </a:rPr>
            <a:t>Minimum Pin Diameter: </a:t>
          </a:r>
          <a:endParaRPr lang="en-GB" sz="900" b="0" i="0" u="none" strike="noStrike" baseline="0">
            <a:solidFill>
              <a:srgbClr val="000000"/>
            </a:solidFill>
            <a:latin typeface="Arial"/>
            <a:cs typeface="Arial"/>
          </a:endParaRPr>
        </a:p>
        <a:p>
          <a:pPr algn="l" rtl="0">
            <a:defRPr sz="1000"/>
          </a:pPr>
          <a:r>
            <a:rPr lang="en-GB" sz="900" b="1" i="0" u="none" strike="noStrike" baseline="0">
              <a:solidFill>
                <a:srgbClr val="FF0000"/>
              </a:solidFill>
              <a:latin typeface="Arial"/>
              <a:cs typeface="Arial"/>
            </a:rPr>
            <a:t>Never</a:t>
          </a:r>
          <a:r>
            <a:rPr lang="en-GB" sz="900" b="0" i="0" u="none" strike="noStrike" baseline="0">
              <a:solidFill>
                <a:srgbClr val="000000"/>
              </a:solidFill>
              <a:latin typeface="Arial"/>
              <a:cs typeface="Arial"/>
            </a:rPr>
            <a:t> smaller than the sling diameter.</a:t>
          </a:r>
          <a:endParaRPr lang="en-GB" sz="900" b="1" i="0" u="none" strike="noStrike" baseline="0">
            <a:solidFill>
              <a:srgbClr val="000000"/>
            </a:solidFill>
            <a:latin typeface="Arial"/>
            <a:cs typeface="Arial"/>
          </a:endParaRPr>
        </a:p>
        <a:p>
          <a:pPr algn="l" rtl="0">
            <a:defRPr sz="1000"/>
          </a:pPr>
          <a:endParaRPr lang="en-GB" sz="900" b="1" i="0" u="none" strike="noStrike" baseline="0">
            <a:solidFill>
              <a:srgbClr val="000000"/>
            </a:solidFill>
            <a:latin typeface="Arial"/>
            <a:cs typeface="Arial"/>
          </a:endParaRPr>
        </a:p>
      </xdr:txBody>
    </xdr:sp>
    <xdr:clientData/>
  </xdr:twoCellAnchor>
  <xdr:twoCellAnchor>
    <xdr:from>
      <xdr:col>1</xdr:col>
      <xdr:colOff>28575</xdr:colOff>
      <xdr:row>18</xdr:row>
      <xdr:rowOff>95250</xdr:rowOff>
    </xdr:from>
    <xdr:to>
      <xdr:col>5</xdr:col>
      <xdr:colOff>19050</xdr:colOff>
      <xdr:row>26</xdr:row>
      <xdr:rowOff>104775</xdr:rowOff>
    </xdr:to>
    <xdr:sp macro="" textlink="">
      <xdr:nvSpPr>
        <xdr:cNvPr id="57374" name="Text Box 30"/>
        <xdr:cNvSpPr txBox="1">
          <a:spLocks noChangeArrowheads="1"/>
        </xdr:cNvSpPr>
      </xdr:nvSpPr>
      <xdr:spPr bwMode="auto">
        <a:xfrm>
          <a:off x="990600" y="3143250"/>
          <a:ext cx="6934200" cy="1304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Arial"/>
              <a:cs typeface="Arial"/>
            </a:rPr>
            <a:t>TPXC is the best synthetic sling made by SlingMax (as of 2006).  It is made with K-Spec® high performance fibers, and it has a bulked nylon outer cover (Covermax®) that is very abrasion resistant. </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All of these slings have overload tell-tails, inner red cover, and are used worldwide in place of chain and wire rope slings for heavy lifts. Also, they are repairable. They have fiber optics for inspection. The Twin-Path® patented design provides the rigger with redundant protection in the event that one path is cut. </a:t>
          </a:r>
          <a:r>
            <a:rPr lang="en-GB" sz="1000" b="1" i="0" u="none" strike="noStrike" baseline="0">
              <a:solidFill>
                <a:srgbClr val="000000"/>
              </a:solidFill>
              <a:latin typeface="Arial"/>
              <a:cs typeface="Arial"/>
            </a:rPr>
            <a:t>These slings have 1% stretch at rated capacity</a:t>
          </a:r>
          <a:r>
            <a:rPr lang="en-GB" sz="1000" b="0" i="0" u="none" strike="noStrike" baseline="0">
              <a:solidFill>
                <a:srgbClr val="000000"/>
              </a:solidFill>
              <a:latin typeface="Arial"/>
              <a:cs typeface="Arial"/>
            </a:rPr>
            <a:t> and are made in matched lengths. These slings conform to ASME B30.9 Chapter 9-6 and US Navy NAVFAC P-307 Section 14. </a:t>
          </a:r>
        </a:p>
        <a:p>
          <a:pPr algn="l" rtl="0">
            <a:defRPr sz="1000"/>
          </a:pPr>
          <a:endParaRPr lang="en-GB" sz="1000" b="0" i="0" u="none" strike="noStrike" baseline="0">
            <a:solidFill>
              <a:srgbClr val="000000"/>
            </a:solidFill>
            <a:latin typeface="Arial"/>
            <a:cs typeface="Arial"/>
          </a:endParaRPr>
        </a:p>
      </xdr:txBody>
    </xdr:sp>
    <xdr:clientData/>
  </xdr:twoCellAnchor>
  <xdr:twoCellAnchor editAs="oneCell">
    <xdr:from>
      <xdr:col>2</xdr:col>
      <xdr:colOff>657225</xdr:colOff>
      <xdr:row>1</xdr:row>
      <xdr:rowOff>104775</xdr:rowOff>
    </xdr:from>
    <xdr:to>
      <xdr:col>2</xdr:col>
      <xdr:colOff>933450</xdr:colOff>
      <xdr:row>7</xdr:row>
      <xdr:rowOff>28575</xdr:rowOff>
    </xdr:to>
    <xdr:pic>
      <xdr:nvPicPr>
        <xdr:cNvPr id="57479" name="Picture 35"/>
        <xdr:cNvPicPr>
          <a:picLocks noChangeAspect="1" noChangeArrowheads="1"/>
        </xdr:cNvPicPr>
      </xdr:nvPicPr>
      <xdr:blipFill>
        <a:blip xmlns:r="http://schemas.openxmlformats.org/officeDocument/2006/relationships" r:embed="rId2" cstate="print"/>
        <a:srcRect/>
        <a:stretch>
          <a:fillRect/>
        </a:stretch>
      </xdr:blipFill>
      <xdr:spPr bwMode="auto">
        <a:xfrm>
          <a:off x="4810125" y="266700"/>
          <a:ext cx="276225" cy="895350"/>
        </a:xfrm>
        <a:prstGeom prst="rect">
          <a:avLst/>
        </a:prstGeom>
        <a:noFill/>
        <a:ln w="9525">
          <a:noFill/>
          <a:miter lim="800000"/>
          <a:headEnd/>
          <a:tailEnd/>
        </a:ln>
      </xdr:spPr>
    </xdr:pic>
    <xdr:clientData/>
  </xdr:twoCellAnchor>
  <xdr:twoCellAnchor editAs="oneCell">
    <xdr:from>
      <xdr:col>3</xdr:col>
      <xdr:colOff>333375</xdr:colOff>
      <xdr:row>1</xdr:row>
      <xdr:rowOff>76200</xdr:rowOff>
    </xdr:from>
    <xdr:to>
      <xdr:col>3</xdr:col>
      <xdr:colOff>895350</xdr:colOff>
      <xdr:row>7</xdr:row>
      <xdr:rowOff>0</xdr:rowOff>
    </xdr:to>
    <xdr:pic>
      <xdr:nvPicPr>
        <xdr:cNvPr id="57480" name="Picture 36"/>
        <xdr:cNvPicPr>
          <a:picLocks noChangeAspect="1" noChangeArrowheads="1"/>
        </xdr:cNvPicPr>
      </xdr:nvPicPr>
      <xdr:blipFill>
        <a:blip xmlns:r="http://schemas.openxmlformats.org/officeDocument/2006/relationships" r:embed="rId3" cstate="print"/>
        <a:srcRect/>
        <a:stretch>
          <a:fillRect/>
        </a:stretch>
      </xdr:blipFill>
      <xdr:spPr bwMode="auto">
        <a:xfrm>
          <a:off x="5705475" y="238125"/>
          <a:ext cx="561975" cy="895350"/>
        </a:xfrm>
        <a:prstGeom prst="rect">
          <a:avLst/>
        </a:prstGeom>
        <a:noFill/>
        <a:ln w="9525">
          <a:noFill/>
          <a:miter lim="800000"/>
          <a:headEnd/>
          <a:tailEnd/>
        </a:ln>
      </xdr:spPr>
    </xdr:pic>
    <xdr:clientData/>
  </xdr:twoCellAnchor>
  <xdr:twoCellAnchor editAs="oneCell">
    <xdr:from>
      <xdr:col>4</xdr:col>
      <xdr:colOff>342900</xdr:colOff>
      <xdr:row>2</xdr:row>
      <xdr:rowOff>38100</xdr:rowOff>
    </xdr:from>
    <xdr:to>
      <xdr:col>4</xdr:col>
      <xdr:colOff>981075</xdr:colOff>
      <xdr:row>7</xdr:row>
      <xdr:rowOff>38100</xdr:rowOff>
    </xdr:to>
    <xdr:pic>
      <xdr:nvPicPr>
        <xdr:cNvPr id="57481" name="Picture 37"/>
        <xdr:cNvPicPr>
          <a:picLocks noChangeAspect="1" noChangeArrowheads="1"/>
        </xdr:cNvPicPr>
      </xdr:nvPicPr>
      <xdr:blipFill>
        <a:blip xmlns:r="http://schemas.openxmlformats.org/officeDocument/2006/relationships" r:embed="rId4" cstate="print"/>
        <a:srcRect/>
        <a:stretch>
          <a:fillRect/>
        </a:stretch>
      </xdr:blipFill>
      <xdr:spPr bwMode="auto">
        <a:xfrm>
          <a:off x="6915150" y="361950"/>
          <a:ext cx="638175" cy="809625"/>
        </a:xfrm>
        <a:prstGeom prst="rect">
          <a:avLst/>
        </a:prstGeom>
        <a:noFill/>
        <a:ln w="9525">
          <a:noFill/>
          <a:miter lim="800000"/>
          <a:headEnd/>
          <a:tailEnd/>
        </a:ln>
      </xdr:spPr>
    </xdr:pic>
    <xdr:clientData/>
  </xdr:twoCellAnchor>
  <xdr:twoCellAnchor editAs="absolute">
    <xdr:from>
      <xdr:col>0</xdr:col>
      <xdr:colOff>47625</xdr:colOff>
      <xdr:row>0</xdr:row>
      <xdr:rowOff>66675</xdr:rowOff>
    </xdr:from>
    <xdr:to>
      <xdr:col>0</xdr:col>
      <xdr:colOff>942975</xdr:colOff>
      <xdr:row>1</xdr:row>
      <xdr:rowOff>133350</xdr:rowOff>
    </xdr:to>
    <xdr:pic>
      <xdr:nvPicPr>
        <xdr:cNvPr id="57482" name="Picture 44">
          <a:hlinkClick xmlns:r="http://schemas.openxmlformats.org/officeDocument/2006/relationships" r:id="rId5" tooltip="Return to Main Menu"/>
        </xdr:cNvPr>
        <xdr:cNvPicPr>
          <a:picLocks noChangeAspect="1" noChangeArrowheads="1"/>
        </xdr:cNvPicPr>
      </xdr:nvPicPr>
      <xdr:blipFill>
        <a:blip xmlns:r="http://schemas.openxmlformats.org/officeDocument/2006/relationships" r:embed="rId6" cstate="print"/>
        <a:srcRect/>
        <a:stretch>
          <a:fillRect/>
        </a:stretch>
      </xdr:blipFill>
      <xdr:spPr bwMode="auto">
        <a:xfrm>
          <a:off x="47625" y="6667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1</xdr:row>
      <xdr:rowOff>142875</xdr:rowOff>
    </xdr:from>
    <xdr:to>
      <xdr:col>0</xdr:col>
      <xdr:colOff>942975</xdr:colOff>
      <xdr:row>3</xdr:row>
      <xdr:rowOff>47625</xdr:rowOff>
    </xdr:to>
    <xdr:pic>
      <xdr:nvPicPr>
        <xdr:cNvPr id="57483" name="Picture 45">
          <a:hlinkClick xmlns:r="http://schemas.openxmlformats.org/officeDocument/2006/relationships" r:id="rId7" tooltip="Go To Master Index"/>
        </xdr:cNvPr>
        <xdr:cNvPicPr>
          <a:picLocks noChangeAspect="1" noChangeArrowheads="1"/>
        </xdr:cNvPicPr>
      </xdr:nvPicPr>
      <xdr:blipFill>
        <a:blip xmlns:r="http://schemas.openxmlformats.org/officeDocument/2006/relationships" r:embed="rId8" cstate="print"/>
        <a:srcRect/>
        <a:stretch>
          <a:fillRect/>
        </a:stretch>
      </xdr:blipFill>
      <xdr:spPr bwMode="auto">
        <a:xfrm>
          <a:off x="47625" y="304800"/>
          <a:ext cx="895350" cy="228600"/>
        </a:xfrm>
        <a:prstGeom prst="rect">
          <a:avLst/>
        </a:prstGeom>
        <a:noFill/>
        <a:ln w="9525">
          <a:noFill/>
          <a:miter lim="800000"/>
          <a:headEnd/>
          <a:tailEnd/>
        </a:ln>
      </xdr:spPr>
    </xdr:pic>
    <xdr:clientData fPrintsWithSheet="0"/>
  </xdr:twoCellAnchor>
  <xdr:twoCellAnchor editAs="absolute">
    <xdr:from>
      <xdr:col>0</xdr:col>
      <xdr:colOff>47625</xdr:colOff>
      <xdr:row>3</xdr:row>
      <xdr:rowOff>76200</xdr:rowOff>
    </xdr:from>
    <xdr:to>
      <xdr:col>0</xdr:col>
      <xdr:colOff>942975</xdr:colOff>
      <xdr:row>4</xdr:row>
      <xdr:rowOff>142875</xdr:rowOff>
    </xdr:to>
    <xdr:pic>
      <xdr:nvPicPr>
        <xdr:cNvPr id="57484" name="Picture 46">
          <a:hlinkClick xmlns:r="http://schemas.openxmlformats.org/officeDocument/2006/relationships" r:id="rId9" tooltip="Go To Weights Menu"/>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7625" y="56197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4</xdr:row>
      <xdr:rowOff>142875</xdr:rowOff>
    </xdr:from>
    <xdr:to>
      <xdr:col>0</xdr:col>
      <xdr:colOff>942975</xdr:colOff>
      <xdr:row>6</xdr:row>
      <xdr:rowOff>47625</xdr:rowOff>
    </xdr:to>
    <xdr:pic>
      <xdr:nvPicPr>
        <xdr:cNvPr id="57485" name="Picture 47">
          <a:hlinkClick xmlns:r="http://schemas.openxmlformats.org/officeDocument/2006/relationships" r:id="rId11" tooltip="Go To Tensions Menu"/>
        </xdr:cNvPr>
        <xdr:cNvPicPr>
          <a:picLocks noChangeAspect="1" noChangeArrowheads="1"/>
        </xdr:cNvPicPr>
      </xdr:nvPicPr>
      <xdr:blipFill>
        <a:blip xmlns:r="http://schemas.openxmlformats.org/officeDocument/2006/relationships" r:embed="rId12" cstate="print"/>
        <a:srcRect/>
        <a:stretch>
          <a:fillRect/>
        </a:stretch>
      </xdr:blipFill>
      <xdr:spPr bwMode="auto">
        <a:xfrm>
          <a:off x="47625" y="79057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6</xdr:row>
      <xdr:rowOff>47625</xdr:rowOff>
    </xdr:from>
    <xdr:to>
      <xdr:col>0</xdr:col>
      <xdr:colOff>942975</xdr:colOff>
      <xdr:row>7</xdr:row>
      <xdr:rowOff>114300</xdr:rowOff>
    </xdr:to>
    <xdr:pic>
      <xdr:nvPicPr>
        <xdr:cNvPr id="57486" name="Picture 48">
          <a:hlinkClick xmlns:r="http://schemas.openxmlformats.org/officeDocument/2006/relationships" r:id="rId13" tooltip="Go To Equipment Menu"/>
        </xdr:cNvPr>
        <xdr:cNvPicPr>
          <a:picLocks noChangeAspect="1" noChangeArrowheads="1"/>
        </xdr:cNvPicPr>
      </xdr:nvPicPr>
      <xdr:blipFill>
        <a:blip xmlns:r="http://schemas.openxmlformats.org/officeDocument/2006/relationships" r:embed="rId14" cstate="print"/>
        <a:srcRect/>
        <a:stretch>
          <a:fillRect/>
        </a:stretch>
      </xdr:blipFill>
      <xdr:spPr bwMode="auto">
        <a:xfrm>
          <a:off x="47625" y="1019175"/>
          <a:ext cx="895350" cy="228600"/>
        </a:xfrm>
        <a:prstGeom prst="rect">
          <a:avLst/>
        </a:prstGeom>
        <a:noFill/>
        <a:ln w="9525">
          <a:noFill/>
          <a:miter lim="800000"/>
          <a:headEnd/>
          <a:tailEnd/>
        </a:ln>
      </xdr:spPr>
    </xdr:pic>
    <xdr:clientData fPrintsWithSheet="0"/>
  </xdr:twoCellAnchor>
  <xdr:twoCellAnchor editAs="absolute">
    <xdr:from>
      <xdr:col>0</xdr:col>
      <xdr:colOff>114300</xdr:colOff>
      <xdr:row>7</xdr:row>
      <xdr:rowOff>152400</xdr:rowOff>
    </xdr:from>
    <xdr:to>
      <xdr:col>0</xdr:col>
      <xdr:colOff>342900</xdr:colOff>
      <xdr:row>9</xdr:row>
      <xdr:rowOff>57150</xdr:rowOff>
    </xdr:to>
    <xdr:pic>
      <xdr:nvPicPr>
        <xdr:cNvPr id="57487" name="Picture 49" descr="Code Information">
          <a:hlinkClick xmlns:r="http://schemas.openxmlformats.org/officeDocument/2006/relationships" r:id="rId15" tooltip="Code Information"/>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14300" y="1285875"/>
          <a:ext cx="228600" cy="228600"/>
        </a:xfrm>
        <a:prstGeom prst="rect">
          <a:avLst/>
        </a:prstGeom>
        <a:noFill/>
        <a:ln w="9525">
          <a:noFill/>
          <a:miter lim="800000"/>
          <a:headEnd/>
          <a:tailEnd/>
        </a:ln>
      </xdr:spPr>
    </xdr:pic>
    <xdr:clientData fPrintsWithSheet="0"/>
  </xdr:twoCellAnchor>
  <xdr:twoCellAnchor editAs="absolute">
    <xdr:from>
      <xdr:col>0</xdr:col>
      <xdr:colOff>371475</xdr:colOff>
      <xdr:row>7</xdr:row>
      <xdr:rowOff>152400</xdr:rowOff>
    </xdr:from>
    <xdr:to>
      <xdr:col>0</xdr:col>
      <xdr:colOff>600075</xdr:colOff>
      <xdr:row>9</xdr:row>
      <xdr:rowOff>57150</xdr:rowOff>
    </xdr:to>
    <xdr:pic>
      <xdr:nvPicPr>
        <xdr:cNvPr id="57488" name="Picture 50" descr="help">
          <a:hlinkClick xmlns:r="http://schemas.openxmlformats.org/officeDocument/2006/relationships" r:id="rId17" tooltip="Help"/>
        </xdr:cNvPr>
        <xdr:cNvPicPr>
          <a:picLocks noChangeAspect="1" noChangeArrowheads="1"/>
        </xdr:cNvPicPr>
      </xdr:nvPicPr>
      <xdr:blipFill>
        <a:blip xmlns:r="http://schemas.openxmlformats.org/officeDocument/2006/relationships" r:embed="rId18" cstate="print"/>
        <a:srcRect/>
        <a:stretch>
          <a:fillRect/>
        </a:stretch>
      </xdr:blipFill>
      <xdr:spPr bwMode="auto">
        <a:xfrm>
          <a:off x="371475" y="1285875"/>
          <a:ext cx="228600" cy="228600"/>
        </a:xfrm>
        <a:prstGeom prst="rect">
          <a:avLst/>
        </a:prstGeom>
        <a:noFill/>
        <a:ln w="9525">
          <a:noFill/>
          <a:miter lim="800000"/>
          <a:headEnd/>
          <a:tailEnd/>
        </a:ln>
      </xdr:spPr>
    </xdr:pic>
    <xdr:clientData fPrintsWithSheet="0"/>
  </xdr:twoCellAnchor>
  <xdr:twoCellAnchor editAs="absolute">
    <xdr:from>
      <xdr:col>0</xdr:col>
      <xdr:colOff>638175</xdr:colOff>
      <xdr:row>7</xdr:row>
      <xdr:rowOff>152400</xdr:rowOff>
    </xdr:from>
    <xdr:to>
      <xdr:col>0</xdr:col>
      <xdr:colOff>866775</xdr:colOff>
      <xdr:row>9</xdr:row>
      <xdr:rowOff>57150</xdr:rowOff>
    </xdr:to>
    <xdr:pic>
      <xdr:nvPicPr>
        <xdr:cNvPr id="57489" name="Picture 51" descr="star">
          <a:hlinkClick xmlns:r="http://schemas.openxmlformats.org/officeDocument/2006/relationships" r:id="rId19" tooltip="Conversions"/>
        </xdr:cNvPr>
        <xdr:cNvPicPr>
          <a:picLocks noChangeAspect="1" noChangeArrowheads="1"/>
        </xdr:cNvPicPr>
      </xdr:nvPicPr>
      <xdr:blipFill>
        <a:blip xmlns:r="http://schemas.openxmlformats.org/officeDocument/2006/relationships" r:embed="rId20" cstate="print"/>
        <a:srcRect/>
        <a:stretch>
          <a:fillRect/>
        </a:stretch>
      </xdr:blipFill>
      <xdr:spPr bwMode="auto">
        <a:xfrm>
          <a:off x="638175" y="1285875"/>
          <a:ext cx="228600" cy="22860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editAs="oneCell">
        <xdr:from>
          <xdr:col>1</xdr:col>
          <xdr:colOff>352425</xdr:colOff>
          <xdr:row>13</xdr:row>
          <xdr:rowOff>0</xdr:rowOff>
        </xdr:from>
        <xdr:to>
          <xdr:col>1</xdr:col>
          <xdr:colOff>3095625</xdr:colOff>
          <xdr:row>13</xdr:row>
          <xdr:rowOff>200025</xdr:rowOff>
        </xdr:to>
        <xdr:sp macro="" textlink="">
          <xdr:nvSpPr>
            <xdr:cNvPr id="57363" name="Drop Down 19" hidden="1">
              <a:extLst>
                <a:ext uri="{63B3BB69-23CF-44E3-9099-C40C66FF867C}">
                  <a14:compatExt spid="_x0000_s573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95250</xdr:colOff>
          <xdr:row>2</xdr:row>
          <xdr:rowOff>57150</xdr:rowOff>
        </xdr:from>
        <xdr:to>
          <xdr:col>1</xdr:col>
          <xdr:colOff>1171575</xdr:colOff>
          <xdr:row>4</xdr:row>
          <xdr:rowOff>0</xdr:rowOff>
        </xdr:to>
        <xdr:grpSp>
          <xdr:nvGrpSpPr>
            <xdr:cNvPr id="57348" name="Group 4"/>
            <xdr:cNvGrpSpPr>
              <a:grpSpLocks/>
            </xdr:cNvGrpSpPr>
          </xdr:nvGrpSpPr>
          <xdr:grpSpPr bwMode="auto">
            <a:xfrm>
              <a:off x="1057275" y="381000"/>
              <a:ext cx="1076325" cy="266700"/>
              <a:chOff x="181" y="50"/>
              <a:chExt cx="113" cy="28"/>
            </a:xfrm>
          </xdr:grpSpPr>
          <xdr:sp macro="" textlink="">
            <xdr:nvSpPr>
              <xdr:cNvPr id="57349" name="Option Button 5" hidden="1">
                <a:extLst>
                  <a:ext uri="{63B3BB69-23CF-44E3-9099-C40C66FF867C}">
                    <a14:compatExt spid="_x0000_s57349"/>
                  </a:ext>
                </a:extLst>
              </xdr:cNvPr>
              <xdr:cNvSpPr/>
            </xdr:nvSpPr>
            <xdr:spPr>
              <a:xfrm>
                <a:off x="185" y="55"/>
                <a:ext cx="46"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lbs</a:t>
                </a:r>
              </a:p>
            </xdr:txBody>
          </xdr:sp>
          <xdr:grpSp>
            <xdr:nvGrpSpPr>
              <xdr:cNvPr id="57350" name="Group 6"/>
              <xdr:cNvGrpSpPr>
                <a:grpSpLocks/>
              </xdr:cNvGrpSpPr>
            </xdr:nvGrpSpPr>
            <xdr:grpSpPr bwMode="auto">
              <a:xfrm>
                <a:off x="181" y="50"/>
                <a:ext cx="113" cy="28"/>
                <a:chOff x="181" y="50"/>
                <a:chExt cx="113" cy="28"/>
              </a:xfrm>
            </xdr:grpSpPr>
            <xdr:sp macro="" textlink="">
              <xdr:nvSpPr>
                <xdr:cNvPr id="57351" name="Option Button 7" hidden="1">
                  <a:extLst>
                    <a:ext uri="{63B3BB69-23CF-44E3-9099-C40C66FF867C}">
                      <a14:compatExt spid="_x0000_s57351"/>
                    </a:ext>
                  </a:extLst>
                </xdr:cNvPr>
                <xdr:cNvSpPr/>
              </xdr:nvSpPr>
              <xdr:spPr>
                <a:xfrm>
                  <a:off x="229" y="55"/>
                  <a:ext cx="57"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kgs</a:t>
                  </a:r>
                </a:p>
              </xdr:txBody>
            </xdr:sp>
            <xdr:sp macro="" textlink="">
              <xdr:nvSpPr>
                <xdr:cNvPr id="57352" name="Group Box 8" hidden="1">
                  <a:extLst>
                    <a:ext uri="{63B3BB69-23CF-44E3-9099-C40C66FF867C}">
                      <a14:compatExt spid="_x0000_s57352"/>
                    </a:ext>
                  </a:extLst>
                </xdr:cNvPr>
                <xdr:cNvSpPr/>
              </xdr:nvSpPr>
              <xdr:spPr>
                <a:xfrm>
                  <a:off x="181" y="50"/>
                  <a:ext cx="113" cy="28"/>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Show Capacity in:</a:t>
                  </a:r>
                </a:p>
              </xdr:txBody>
            </xdr:sp>
          </xdr:grpSp>
        </xdr:grpSp>
        <xdr:clientData/>
      </xdr:twoCellAnchor>
    </mc:Choice>
    <mc:Fallback/>
  </mc:AlternateContent>
</xdr:wsDr>
</file>

<file path=xl/drawings/drawing41.xml><?xml version="1.0" encoding="utf-8"?>
<xdr:wsDr xmlns:xdr="http://schemas.openxmlformats.org/drawingml/2006/spreadsheetDrawing" xmlns:a="http://schemas.openxmlformats.org/drawingml/2006/main">
  <xdr:twoCellAnchor editAs="absolute">
    <xdr:from>
      <xdr:col>0</xdr:col>
      <xdr:colOff>781050</xdr:colOff>
      <xdr:row>3</xdr:row>
      <xdr:rowOff>133350</xdr:rowOff>
    </xdr:from>
    <xdr:to>
      <xdr:col>3</xdr:col>
      <xdr:colOff>638175</xdr:colOff>
      <xdr:row>21</xdr:row>
      <xdr:rowOff>219075</xdr:rowOff>
    </xdr:to>
    <xdr:pic>
      <xdr:nvPicPr>
        <xdr:cNvPr id="4718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781050" y="666750"/>
          <a:ext cx="1838325" cy="3086100"/>
        </a:xfrm>
        <a:prstGeom prst="rect">
          <a:avLst/>
        </a:prstGeom>
        <a:noFill/>
        <a:ln w="9525">
          <a:noFill/>
          <a:miter lim="800000"/>
          <a:headEnd/>
          <a:tailEnd/>
        </a:ln>
      </xdr:spPr>
    </xdr:pic>
    <xdr:clientData/>
  </xdr:twoCellAnchor>
  <xdr:twoCellAnchor>
    <xdr:from>
      <xdr:col>3</xdr:col>
      <xdr:colOff>552450</xdr:colOff>
      <xdr:row>14</xdr:row>
      <xdr:rowOff>9525</xdr:rowOff>
    </xdr:from>
    <xdr:to>
      <xdr:col>5</xdr:col>
      <xdr:colOff>962025</xdr:colOff>
      <xdr:row>18</xdr:row>
      <xdr:rowOff>76200</xdr:rowOff>
    </xdr:to>
    <xdr:sp macro="" textlink="">
      <xdr:nvSpPr>
        <xdr:cNvPr id="47108" name="Text Box 4"/>
        <xdr:cNvSpPr txBox="1">
          <a:spLocks noChangeArrowheads="1"/>
        </xdr:cNvSpPr>
      </xdr:nvSpPr>
      <xdr:spPr bwMode="auto">
        <a:xfrm>
          <a:off x="2533650" y="2466975"/>
          <a:ext cx="1704975" cy="733425"/>
        </a:xfrm>
        <a:prstGeom prst="rect">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27432" bIns="0" anchor="t" upright="1"/>
        <a:lstStyle/>
        <a:p>
          <a:pPr algn="ctr" rtl="0">
            <a:defRPr sz="1000"/>
          </a:pPr>
          <a:r>
            <a:rPr lang="en-GB" sz="1000" b="0" i="0" u="none" strike="noStrike" baseline="0">
              <a:solidFill>
                <a:srgbClr val="000000"/>
              </a:solidFill>
              <a:latin typeface="Arial"/>
              <a:cs typeface="Arial"/>
            </a:rPr>
            <a:t>The tightening torque values shown are based upon threads being clean, dry and free of lubrication.</a:t>
          </a:r>
        </a:p>
      </xdr:txBody>
    </xdr:sp>
    <xdr:clientData/>
  </xdr:twoCellAnchor>
  <xdr:twoCellAnchor editAs="oneCell">
    <xdr:from>
      <xdr:col>3</xdr:col>
      <xdr:colOff>266700</xdr:colOff>
      <xdr:row>0</xdr:row>
      <xdr:rowOff>114300</xdr:rowOff>
    </xdr:from>
    <xdr:to>
      <xdr:col>6</xdr:col>
      <xdr:colOff>114300</xdr:colOff>
      <xdr:row>10</xdr:row>
      <xdr:rowOff>85725</xdr:rowOff>
    </xdr:to>
    <xdr:pic>
      <xdr:nvPicPr>
        <xdr:cNvPr id="47184" name="Picture 7"/>
        <xdr:cNvPicPr>
          <a:picLocks noChangeAspect="1" noChangeArrowheads="1"/>
        </xdr:cNvPicPr>
      </xdr:nvPicPr>
      <xdr:blipFill>
        <a:blip xmlns:r="http://schemas.openxmlformats.org/officeDocument/2006/relationships" r:embed="rId2" cstate="print"/>
        <a:srcRect/>
        <a:stretch>
          <a:fillRect/>
        </a:stretch>
      </xdr:blipFill>
      <xdr:spPr bwMode="auto">
        <a:xfrm>
          <a:off x="2247900" y="114300"/>
          <a:ext cx="2114550" cy="1724025"/>
        </a:xfrm>
        <a:prstGeom prst="rect">
          <a:avLst/>
        </a:prstGeom>
        <a:noFill/>
        <a:ln w="9525">
          <a:noFill/>
          <a:miter lim="800000"/>
          <a:headEnd/>
          <a:tailEnd/>
        </a:ln>
      </xdr:spPr>
    </xdr:pic>
    <xdr:clientData/>
  </xdr:twoCellAnchor>
  <xdr:twoCellAnchor editAs="absolute">
    <xdr:from>
      <xdr:col>10</xdr:col>
      <xdr:colOff>390525</xdr:colOff>
      <xdr:row>3</xdr:row>
      <xdr:rowOff>66675</xdr:rowOff>
    </xdr:from>
    <xdr:to>
      <xdr:col>15</xdr:col>
      <xdr:colOff>47625</xdr:colOff>
      <xdr:row>23</xdr:row>
      <xdr:rowOff>9525</xdr:rowOff>
    </xdr:to>
    <xdr:pic>
      <xdr:nvPicPr>
        <xdr:cNvPr id="47185" name="Picture 11"/>
        <xdr:cNvPicPr>
          <a:picLocks noChangeAspect="1" noChangeArrowheads="1"/>
        </xdr:cNvPicPr>
      </xdr:nvPicPr>
      <xdr:blipFill>
        <a:blip xmlns:r="http://schemas.openxmlformats.org/officeDocument/2006/relationships" r:embed="rId3" cstate="print"/>
        <a:srcRect/>
        <a:stretch>
          <a:fillRect/>
        </a:stretch>
      </xdr:blipFill>
      <xdr:spPr bwMode="auto">
        <a:xfrm>
          <a:off x="6210300" y="600075"/>
          <a:ext cx="2724150" cy="3333750"/>
        </a:xfrm>
        <a:prstGeom prst="rect">
          <a:avLst/>
        </a:prstGeom>
        <a:noFill/>
        <a:ln w="9525">
          <a:noFill/>
          <a:miter lim="800000"/>
          <a:headEnd/>
          <a:tailEnd/>
        </a:ln>
      </xdr:spPr>
    </xdr:pic>
    <xdr:clientData/>
  </xdr:twoCellAnchor>
  <xdr:twoCellAnchor editAs="absolute">
    <xdr:from>
      <xdr:col>0</xdr:col>
      <xdr:colOff>85725</xdr:colOff>
      <xdr:row>0</xdr:row>
      <xdr:rowOff>66675</xdr:rowOff>
    </xdr:from>
    <xdr:to>
      <xdr:col>1</xdr:col>
      <xdr:colOff>123825</xdr:colOff>
      <xdr:row>1</xdr:row>
      <xdr:rowOff>133350</xdr:rowOff>
    </xdr:to>
    <xdr:pic>
      <xdr:nvPicPr>
        <xdr:cNvPr id="47186" name="Picture 17">
          <a:hlinkClick xmlns:r="http://schemas.openxmlformats.org/officeDocument/2006/relationships" r:id="rId4" tooltip="Return to Main Menu"/>
        </xdr:cNvPr>
        <xdr:cNvPicPr>
          <a:picLocks noChangeAspect="1" noChangeArrowheads="1"/>
        </xdr:cNvPicPr>
      </xdr:nvPicPr>
      <xdr:blipFill>
        <a:blip xmlns:r="http://schemas.openxmlformats.org/officeDocument/2006/relationships" r:embed="rId5" cstate="print"/>
        <a:srcRect/>
        <a:stretch>
          <a:fillRect/>
        </a:stretch>
      </xdr:blipFill>
      <xdr:spPr bwMode="auto">
        <a:xfrm>
          <a:off x="85725" y="66675"/>
          <a:ext cx="895350" cy="228600"/>
        </a:xfrm>
        <a:prstGeom prst="rect">
          <a:avLst/>
        </a:prstGeom>
        <a:noFill/>
        <a:ln w="9525">
          <a:noFill/>
          <a:miter lim="800000"/>
          <a:headEnd/>
          <a:tailEnd/>
        </a:ln>
      </xdr:spPr>
    </xdr:pic>
    <xdr:clientData fPrintsWithSheet="0"/>
  </xdr:twoCellAnchor>
  <xdr:twoCellAnchor editAs="absolute">
    <xdr:from>
      <xdr:col>0</xdr:col>
      <xdr:colOff>85725</xdr:colOff>
      <xdr:row>1</xdr:row>
      <xdr:rowOff>142875</xdr:rowOff>
    </xdr:from>
    <xdr:to>
      <xdr:col>1</xdr:col>
      <xdr:colOff>123825</xdr:colOff>
      <xdr:row>3</xdr:row>
      <xdr:rowOff>0</xdr:rowOff>
    </xdr:to>
    <xdr:pic>
      <xdr:nvPicPr>
        <xdr:cNvPr id="47187" name="Picture 18">
          <a:hlinkClick xmlns:r="http://schemas.openxmlformats.org/officeDocument/2006/relationships" r:id="rId6" tooltip="Go To Master Index"/>
        </xdr:cNvPr>
        <xdr:cNvPicPr>
          <a:picLocks noChangeAspect="1" noChangeArrowheads="1"/>
        </xdr:cNvPicPr>
      </xdr:nvPicPr>
      <xdr:blipFill>
        <a:blip xmlns:r="http://schemas.openxmlformats.org/officeDocument/2006/relationships" r:embed="rId7" cstate="print"/>
        <a:srcRect/>
        <a:stretch>
          <a:fillRect/>
        </a:stretch>
      </xdr:blipFill>
      <xdr:spPr bwMode="auto">
        <a:xfrm>
          <a:off x="85725" y="304800"/>
          <a:ext cx="895350" cy="228600"/>
        </a:xfrm>
        <a:prstGeom prst="rect">
          <a:avLst/>
        </a:prstGeom>
        <a:noFill/>
        <a:ln w="9525">
          <a:noFill/>
          <a:miter lim="800000"/>
          <a:headEnd/>
          <a:tailEnd/>
        </a:ln>
      </xdr:spPr>
    </xdr:pic>
    <xdr:clientData fPrintsWithSheet="0"/>
  </xdr:twoCellAnchor>
  <xdr:twoCellAnchor editAs="absolute">
    <xdr:from>
      <xdr:col>0</xdr:col>
      <xdr:colOff>85725</xdr:colOff>
      <xdr:row>3</xdr:row>
      <xdr:rowOff>28575</xdr:rowOff>
    </xdr:from>
    <xdr:to>
      <xdr:col>1</xdr:col>
      <xdr:colOff>123825</xdr:colOff>
      <xdr:row>4</xdr:row>
      <xdr:rowOff>95250</xdr:rowOff>
    </xdr:to>
    <xdr:pic>
      <xdr:nvPicPr>
        <xdr:cNvPr id="47188" name="Picture 19">
          <a:hlinkClick xmlns:r="http://schemas.openxmlformats.org/officeDocument/2006/relationships" r:id="rId8" tooltip="Go To Weight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85725" y="561975"/>
          <a:ext cx="895350" cy="228600"/>
        </a:xfrm>
        <a:prstGeom prst="rect">
          <a:avLst/>
        </a:prstGeom>
        <a:noFill/>
        <a:ln w="9525">
          <a:noFill/>
          <a:miter lim="800000"/>
          <a:headEnd/>
          <a:tailEnd/>
        </a:ln>
      </xdr:spPr>
    </xdr:pic>
    <xdr:clientData fPrintsWithSheet="0"/>
  </xdr:twoCellAnchor>
  <xdr:twoCellAnchor editAs="absolute">
    <xdr:from>
      <xdr:col>0</xdr:col>
      <xdr:colOff>85725</xdr:colOff>
      <xdr:row>4</xdr:row>
      <xdr:rowOff>95250</xdr:rowOff>
    </xdr:from>
    <xdr:to>
      <xdr:col>1</xdr:col>
      <xdr:colOff>123825</xdr:colOff>
      <xdr:row>5</xdr:row>
      <xdr:rowOff>152400</xdr:rowOff>
    </xdr:to>
    <xdr:pic>
      <xdr:nvPicPr>
        <xdr:cNvPr id="47189" name="Picture 20">
          <a:hlinkClick xmlns:r="http://schemas.openxmlformats.org/officeDocument/2006/relationships" r:id="rId10" tooltip="Go To Tensions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85725" y="790575"/>
          <a:ext cx="895350" cy="228600"/>
        </a:xfrm>
        <a:prstGeom prst="rect">
          <a:avLst/>
        </a:prstGeom>
        <a:noFill/>
        <a:ln w="9525">
          <a:noFill/>
          <a:miter lim="800000"/>
          <a:headEnd/>
          <a:tailEnd/>
        </a:ln>
      </xdr:spPr>
    </xdr:pic>
    <xdr:clientData fPrintsWithSheet="0"/>
  </xdr:twoCellAnchor>
  <xdr:twoCellAnchor editAs="absolute">
    <xdr:from>
      <xdr:col>0</xdr:col>
      <xdr:colOff>85725</xdr:colOff>
      <xdr:row>5</xdr:row>
      <xdr:rowOff>152400</xdr:rowOff>
    </xdr:from>
    <xdr:to>
      <xdr:col>1</xdr:col>
      <xdr:colOff>123825</xdr:colOff>
      <xdr:row>7</xdr:row>
      <xdr:rowOff>47625</xdr:rowOff>
    </xdr:to>
    <xdr:pic>
      <xdr:nvPicPr>
        <xdr:cNvPr id="47190" name="Picture 21">
          <a:hlinkClick xmlns:r="http://schemas.openxmlformats.org/officeDocument/2006/relationships" r:id="rId12" tooltip="Go To Equipment Menu"/>
        </xdr:cNvPr>
        <xdr:cNvPicPr>
          <a:picLocks noChangeAspect="1" noChangeArrowheads="1"/>
        </xdr:cNvPicPr>
      </xdr:nvPicPr>
      <xdr:blipFill>
        <a:blip xmlns:r="http://schemas.openxmlformats.org/officeDocument/2006/relationships" r:embed="rId13" cstate="print"/>
        <a:srcRect/>
        <a:stretch>
          <a:fillRect/>
        </a:stretch>
      </xdr:blipFill>
      <xdr:spPr bwMode="auto">
        <a:xfrm>
          <a:off x="85725" y="1019175"/>
          <a:ext cx="895350" cy="228600"/>
        </a:xfrm>
        <a:prstGeom prst="rect">
          <a:avLst/>
        </a:prstGeom>
        <a:noFill/>
        <a:ln w="9525">
          <a:noFill/>
          <a:miter lim="800000"/>
          <a:headEnd/>
          <a:tailEnd/>
        </a:ln>
      </xdr:spPr>
    </xdr:pic>
    <xdr:clientData fPrintsWithSheet="0"/>
  </xdr:twoCellAnchor>
  <xdr:twoCellAnchor editAs="absolute">
    <xdr:from>
      <xdr:col>0</xdr:col>
      <xdr:colOff>133350</xdr:colOff>
      <xdr:row>7</xdr:row>
      <xdr:rowOff>76200</xdr:rowOff>
    </xdr:from>
    <xdr:to>
      <xdr:col>0</xdr:col>
      <xdr:colOff>361950</xdr:colOff>
      <xdr:row>8</xdr:row>
      <xdr:rowOff>142875</xdr:rowOff>
    </xdr:to>
    <xdr:pic>
      <xdr:nvPicPr>
        <xdr:cNvPr id="47191" name="Picture 22" descr="Code Information">
          <a:hlinkClick xmlns:r="http://schemas.openxmlformats.org/officeDocument/2006/relationships" r:id="rId14" tooltip="Code Information"/>
        </xdr:cNvPr>
        <xdr:cNvPicPr>
          <a:picLocks noChangeAspect="1" noChangeArrowheads="1"/>
        </xdr:cNvPicPr>
      </xdr:nvPicPr>
      <xdr:blipFill>
        <a:blip xmlns:r="http://schemas.openxmlformats.org/officeDocument/2006/relationships" r:embed="rId15" cstate="print"/>
        <a:srcRect/>
        <a:stretch>
          <a:fillRect/>
        </a:stretch>
      </xdr:blipFill>
      <xdr:spPr bwMode="auto">
        <a:xfrm>
          <a:off x="133350" y="1276350"/>
          <a:ext cx="228600" cy="228600"/>
        </a:xfrm>
        <a:prstGeom prst="rect">
          <a:avLst/>
        </a:prstGeom>
        <a:noFill/>
        <a:ln w="9525">
          <a:noFill/>
          <a:miter lim="800000"/>
          <a:headEnd/>
          <a:tailEnd/>
        </a:ln>
      </xdr:spPr>
    </xdr:pic>
    <xdr:clientData fPrintsWithSheet="0"/>
  </xdr:twoCellAnchor>
  <xdr:twoCellAnchor editAs="absolute">
    <xdr:from>
      <xdr:col>0</xdr:col>
      <xdr:colOff>390525</xdr:colOff>
      <xdr:row>7</xdr:row>
      <xdr:rowOff>76200</xdr:rowOff>
    </xdr:from>
    <xdr:to>
      <xdr:col>0</xdr:col>
      <xdr:colOff>619125</xdr:colOff>
      <xdr:row>8</xdr:row>
      <xdr:rowOff>142875</xdr:rowOff>
    </xdr:to>
    <xdr:pic>
      <xdr:nvPicPr>
        <xdr:cNvPr id="47192" name="Picture 23" descr="help">
          <a:hlinkClick xmlns:r="http://schemas.openxmlformats.org/officeDocument/2006/relationships" r:id="rId16" tooltip="Help"/>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90525" y="1276350"/>
          <a:ext cx="228600" cy="228600"/>
        </a:xfrm>
        <a:prstGeom prst="rect">
          <a:avLst/>
        </a:prstGeom>
        <a:noFill/>
        <a:ln w="9525">
          <a:noFill/>
          <a:miter lim="800000"/>
          <a:headEnd/>
          <a:tailEnd/>
        </a:ln>
      </xdr:spPr>
    </xdr:pic>
    <xdr:clientData fPrintsWithSheet="0"/>
  </xdr:twoCellAnchor>
  <xdr:twoCellAnchor editAs="absolute">
    <xdr:from>
      <xdr:col>0</xdr:col>
      <xdr:colOff>657225</xdr:colOff>
      <xdr:row>7</xdr:row>
      <xdr:rowOff>76200</xdr:rowOff>
    </xdr:from>
    <xdr:to>
      <xdr:col>1</xdr:col>
      <xdr:colOff>28575</xdr:colOff>
      <xdr:row>8</xdr:row>
      <xdr:rowOff>142875</xdr:rowOff>
    </xdr:to>
    <xdr:pic>
      <xdr:nvPicPr>
        <xdr:cNvPr id="47193" name="Picture 24" descr="star">
          <a:hlinkClick xmlns:r="http://schemas.openxmlformats.org/officeDocument/2006/relationships" r:id="rId18" tooltip="Conversions"/>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57225" y="1276350"/>
          <a:ext cx="228600" cy="228600"/>
        </a:xfrm>
        <a:prstGeom prst="rect">
          <a:avLst/>
        </a:prstGeom>
        <a:noFill/>
        <a:ln w="9525">
          <a:noFill/>
          <a:miter lim="800000"/>
          <a:headEnd/>
          <a:tailEnd/>
        </a:ln>
      </xdr:spPr>
    </xdr:pic>
    <xdr:clientData fPrintsWithSheet="0"/>
  </xdr:twoCellAnchor>
  <xdr:twoCellAnchor>
    <xdr:from>
      <xdr:col>4</xdr:col>
      <xdr:colOff>590550</xdr:colOff>
      <xdr:row>28</xdr:row>
      <xdr:rowOff>104775</xdr:rowOff>
    </xdr:from>
    <xdr:to>
      <xdr:col>10</xdr:col>
      <xdr:colOff>257175</xdr:colOff>
      <xdr:row>33</xdr:row>
      <xdr:rowOff>95250</xdr:rowOff>
    </xdr:to>
    <xdr:sp macro="" textlink="">
      <xdr:nvSpPr>
        <xdr:cNvPr id="47129" name="Text Box 25"/>
        <xdr:cNvSpPr txBox="1">
          <a:spLocks noChangeArrowheads="1"/>
        </xdr:cNvSpPr>
      </xdr:nvSpPr>
      <xdr:spPr bwMode="auto">
        <a:xfrm>
          <a:off x="3257550" y="4838700"/>
          <a:ext cx="2819400" cy="8001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FF"/>
              </a:solidFill>
              <a:latin typeface="Arial"/>
              <a:cs typeface="Arial"/>
            </a:rPr>
            <a:t>These are representative values only!</a:t>
          </a:r>
          <a:endParaRPr lang="en-GB" sz="900" b="1" i="0" u="none" strike="noStrike" baseline="0">
            <a:solidFill>
              <a:srgbClr val="000000"/>
            </a:solidFill>
            <a:latin typeface="Arial"/>
            <a:cs typeface="Arial"/>
          </a:endParaRPr>
        </a:p>
        <a:p>
          <a:pPr algn="ctr" rtl="0">
            <a:defRPr sz="1000"/>
          </a:pPr>
          <a:endParaRPr lang="en-GB" sz="900" b="1" i="0" u="none" strike="noStrike" baseline="0">
            <a:solidFill>
              <a:srgbClr val="000000"/>
            </a:solidFill>
            <a:latin typeface="Arial"/>
            <a:cs typeface="Arial"/>
          </a:endParaRPr>
        </a:p>
        <a:p>
          <a:pPr algn="ctr" rtl="0">
            <a:defRPr sz="1000"/>
          </a:pPr>
          <a:r>
            <a:rPr lang="en-GB" sz="900" b="1" i="0" u="none" strike="noStrike" baseline="0">
              <a:solidFill>
                <a:srgbClr val="FF0000"/>
              </a:solidFill>
              <a:latin typeface="Arial"/>
              <a:cs typeface="Arial"/>
            </a:rPr>
            <a:t>ALWAYS  verify the actual</a:t>
          </a:r>
        </a:p>
        <a:p>
          <a:pPr algn="ctr" rtl="0">
            <a:defRPr sz="1000"/>
          </a:pPr>
          <a:r>
            <a:rPr lang="en-GB" sz="900" b="1" i="0" u="none" strike="noStrike" baseline="0">
              <a:solidFill>
                <a:srgbClr val="FF0000"/>
              </a:solidFill>
              <a:latin typeface="Arial"/>
              <a:cs typeface="Arial"/>
            </a:rPr>
            <a:t>Working Load Limits and dimensional values (per the manufacturer) BEFORE USING this equipment.</a:t>
          </a:r>
        </a:p>
      </xdr:txBody>
    </xdr:sp>
    <xdr:clientData/>
  </xdr:twoCellAnchor>
  <mc:AlternateContent xmlns:mc="http://schemas.openxmlformats.org/markup-compatibility/2006">
    <mc:Choice xmlns:a14="http://schemas.microsoft.com/office/drawing/2010/main" Requires="a14">
      <xdr:twoCellAnchor editAs="absolute">
        <xdr:from>
          <xdr:col>1</xdr:col>
          <xdr:colOff>19050</xdr:colOff>
          <xdr:row>25</xdr:row>
          <xdr:rowOff>19050</xdr:rowOff>
        </xdr:from>
        <xdr:to>
          <xdr:col>5</xdr:col>
          <xdr:colOff>0</xdr:colOff>
          <xdr:row>26</xdr:row>
          <xdr:rowOff>57150</xdr:rowOff>
        </xdr:to>
        <xdr:sp macro="" textlink="">
          <xdr:nvSpPr>
            <xdr:cNvPr id="47107" name="Drop Down 3" hidden="1">
              <a:extLst>
                <a:ext uri="{63B3BB69-23CF-44E3-9099-C40C66FF867C}">
                  <a14:compatExt spid="_x0000_s471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24</xdr:row>
          <xdr:rowOff>152400</xdr:rowOff>
        </xdr:from>
        <xdr:to>
          <xdr:col>12</xdr:col>
          <xdr:colOff>57150</xdr:colOff>
          <xdr:row>26</xdr:row>
          <xdr:rowOff>28575</xdr:rowOff>
        </xdr:to>
        <xdr:sp macro="" textlink="">
          <xdr:nvSpPr>
            <xdr:cNvPr id="47114" name="Drop Down 10" hidden="1">
              <a:extLst>
                <a:ext uri="{63B3BB69-23CF-44E3-9099-C40C66FF867C}">
                  <a14:compatExt spid="_x0000_s47114"/>
                </a:ext>
              </a:extLst>
            </xdr:cNvPr>
            <xdr:cNvSpPr/>
          </xdr:nvSpPr>
          <xdr:spPr>
            <a:xfrm>
              <a:off x="0" y="0"/>
              <a:ext cx="0" cy="0"/>
            </a:xfrm>
            <a:prstGeom prst="rect">
              <a:avLst/>
            </a:prstGeom>
          </xdr:spPr>
        </xdr:sp>
        <xdr:clientData fLocksWithSheet="0"/>
      </xdr:twoCellAnchor>
    </mc:Choice>
    <mc:Fallback/>
  </mc:AlternateContent>
</xdr:wsDr>
</file>

<file path=xl/drawings/drawing42.xml><?xml version="1.0" encoding="utf-8"?>
<xdr:wsDr xmlns:xdr="http://schemas.openxmlformats.org/drawingml/2006/spreadsheetDrawing" xmlns:a="http://schemas.openxmlformats.org/drawingml/2006/main">
  <xdr:twoCellAnchor>
    <xdr:from>
      <xdr:col>0</xdr:col>
      <xdr:colOff>85725</xdr:colOff>
      <xdr:row>9</xdr:row>
      <xdr:rowOff>76200</xdr:rowOff>
    </xdr:from>
    <xdr:to>
      <xdr:col>0</xdr:col>
      <xdr:colOff>895350</xdr:colOff>
      <xdr:row>19</xdr:row>
      <xdr:rowOff>47625</xdr:rowOff>
    </xdr:to>
    <xdr:sp macro="" textlink="">
      <xdr:nvSpPr>
        <xdr:cNvPr id="46089" name="Rectangle 9"/>
        <xdr:cNvSpPr>
          <a:spLocks noChangeArrowheads="1"/>
        </xdr:cNvSpPr>
      </xdr:nvSpPr>
      <xdr:spPr bwMode="auto">
        <a:xfrm>
          <a:off x="85725" y="1609725"/>
          <a:ext cx="809625" cy="1609725"/>
        </a:xfrm>
        <a:prstGeom prst="rect">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a:lstStyle/>
        <a:p>
          <a:endParaRPr lang="en-GB"/>
        </a:p>
      </xdr:txBody>
    </xdr:sp>
    <xdr:clientData/>
  </xdr:twoCellAnchor>
  <xdr:twoCellAnchor editAs="oneCell">
    <xdr:from>
      <xdr:col>0</xdr:col>
      <xdr:colOff>1162050</xdr:colOff>
      <xdr:row>3</xdr:row>
      <xdr:rowOff>38100</xdr:rowOff>
    </xdr:from>
    <xdr:to>
      <xdr:col>6</xdr:col>
      <xdr:colOff>9525</xdr:colOff>
      <xdr:row>20</xdr:row>
      <xdr:rowOff>9525</xdr:rowOff>
    </xdr:to>
    <xdr:pic>
      <xdr:nvPicPr>
        <xdr:cNvPr id="4615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162050" y="552450"/>
          <a:ext cx="3095625" cy="2790825"/>
        </a:xfrm>
        <a:prstGeom prst="rect">
          <a:avLst/>
        </a:prstGeom>
        <a:noFill/>
        <a:ln w="9525">
          <a:noFill/>
          <a:miter lim="800000"/>
          <a:headEnd/>
          <a:tailEnd/>
        </a:ln>
      </xdr:spPr>
    </xdr:pic>
    <xdr:clientData/>
  </xdr:twoCellAnchor>
  <xdr:twoCellAnchor editAs="oneCell">
    <xdr:from>
      <xdr:col>8</xdr:col>
      <xdr:colOff>76200</xdr:colOff>
      <xdr:row>1</xdr:row>
      <xdr:rowOff>104775</xdr:rowOff>
    </xdr:from>
    <xdr:to>
      <xdr:col>12</xdr:col>
      <xdr:colOff>0</xdr:colOff>
      <xdr:row>20</xdr:row>
      <xdr:rowOff>0</xdr:rowOff>
    </xdr:to>
    <xdr:pic>
      <xdr:nvPicPr>
        <xdr:cNvPr id="46158"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4733925" y="276225"/>
          <a:ext cx="2809875" cy="3057525"/>
        </a:xfrm>
        <a:prstGeom prst="rect">
          <a:avLst/>
        </a:prstGeom>
        <a:noFill/>
        <a:ln w="9525">
          <a:noFill/>
          <a:miter lim="800000"/>
          <a:headEnd/>
          <a:tailEnd/>
        </a:ln>
      </xdr:spPr>
    </xdr:pic>
    <xdr:clientData/>
  </xdr:twoCellAnchor>
  <xdr:twoCellAnchor editAs="oneCell">
    <xdr:from>
      <xdr:col>0</xdr:col>
      <xdr:colOff>123825</xdr:colOff>
      <xdr:row>9</xdr:row>
      <xdr:rowOff>161925</xdr:rowOff>
    </xdr:from>
    <xdr:to>
      <xdr:col>0</xdr:col>
      <xdr:colOff>847725</xdr:colOff>
      <xdr:row>18</xdr:row>
      <xdr:rowOff>133350</xdr:rowOff>
    </xdr:to>
    <xdr:pic>
      <xdr:nvPicPr>
        <xdr:cNvPr id="46159" name="Picture 8"/>
        <xdr:cNvPicPr>
          <a:picLocks noChangeAspect="1" noChangeArrowheads="1"/>
        </xdr:cNvPicPr>
      </xdr:nvPicPr>
      <xdr:blipFill>
        <a:blip xmlns:r="http://schemas.openxmlformats.org/officeDocument/2006/relationships" r:embed="rId3" cstate="print"/>
        <a:srcRect/>
        <a:stretch>
          <a:fillRect/>
        </a:stretch>
      </xdr:blipFill>
      <xdr:spPr bwMode="auto">
        <a:xfrm>
          <a:off x="123825" y="1695450"/>
          <a:ext cx="723900" cy="1447800"/>
        </a:xfrm>
        <a:prstGeom prst="rect">
          <a:avLst/>
        </a:prstGeom>
        <a:noFill/>
        <a:ln w="9525">
          <a:noFill/>
          <a:miter lim="800000"/>
          <a:headEnd/>
          <a:tailEnd/>
        </a:ln>
      </xdr:spPr>
    </xdr:pic>
    <xdr:clientData/>
  </xdr:twoCellAnchor>
  <xdr:twoCellAnchor editAs="absolute">
    <xdr:from>
      <xdr:col>0</xdr:col>
      <xdr:colOff>66675</xdr:colOff>
      <xdr:row>0</xdr:row>
      <xdr:rowOff>47625</xdr:rowOff>
    </xdr:from>
    <xdr:to>
      <xdr:col>0</xdr:col>
      <xdr:colOff>962025</xdr:colOff>
      <xdr:row>1</xdr:row>
      <xdr:rowOff>104775</xdr:rowOff>
    </xdr:to>
    <xdr:pic>
      <xdr:nvPicPr>
        <xdr:cNvPr id="46160" name="Picture 15">
          <a:hlinkClick xmlns:r="http://schemas.openxmlformats.org/officeDocument/2006/relationships" r:id="rId4" tooltip="Return to Main Menu"/>
        </xdr:cNvPr>
        <xdr:cNvPicPr>
          <a:picLocks noChangeAspect="1" noChangeArrowheads="1"/>
        </xdr:cNvPicPr>
      </xdr:nvPicPr>
      <xdr:blipFill>
        <a:blip xmlns:r="http://schemas.openxmlformats.org/officeDocument/2006/relationships" r:embed="rId5" cstate="print"/>
        <a:srcRect/>
        <a:stretch>
          <a:fillRect/>
        </a:stretch>
      </xdr:blipFill>
      <xdr:spPr bwMode="auto">
        <a:xfrm>
          <a:off x="66675" y="47625"/>
          <a:ext cx="895350" cy="228600"/>
        </a:xfrm>
        <a:prstGeom prst="rect">
          <a:avLst/>
        </a:prstGeom>
        <a:noFill/>
        <a:ln w="9525">
          <a:noFill/>
          <a:miter lim="800000"/>
          <a:headEnd/>
          <a:tailEnd/>
        </a:ln>
      </xdr:spPr>
    </xdr:pic>
    <xdr:clientData fPrintsWithSheet="0"/>
  </xdr:twoCellAnchor>
  <xdr:twoCellAnchor editAs="absolute">
    <xdr:from>
      <xdr:col>0</xdr:col>
      <xdr:colOff>66675</xdr:colOff>
      <xdr:row>1</xdr:row>
      <xdr:rowOff>114300</xdr:rowOff>
    </xdr:from>
    <xdr:to>
      <xdr:col>0</xdr:col>
      <xdr:colOff>962025</xdr:colOff>
      <xdr:row>3</xdr:row>
      <xdr:rowOff>0</xdr:rowOff>
    </xdr:to>
    <xdr:pic>
      <xdr:nvPicPr>
        <xdr:cNvPr id="46161" name="Picture 16">
          <a:hlinkClick xmlns:r="http://schemas.openxmlformats.org/officeDocument/2006/relationships" r:id="rId6" tooltip="Go To Master Index"/>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5" y="285750"/>
          <a:ext cx="895350" cy="228600"/>
        </a:xfrm>
        <a:prstGeom prst="rect">
          <a:avLst/>
        </a:prstGeom>
        <a:noFill/>
        <a:ln w="9525">
          <a:noFill/>
          <a:miter lim="800000"/>
          <a:headEnd/>
          <a:tailEnd/>
        </a:ln>
      </xdr:spPr>
    </xdr:pic>
    <xdr:clientData fPrintsWithSheet="0"/>
  </xdr:twoCellAnchor>
  <xdr:twoCellAnchor editAs="absolute">
    <xdr:from>
      <xdr:col>0</xdr:col>
      <xdr:colOff>66675</xdr:colOff>
      <xdr:row>3</xdr:row>
      <xdr:rowOff>28575</xdr:rowOff>
    </xdr:from>
    <xdr:to>
      <xdr:col>0</xdr:col>
      <xdr:colOff>962025</xdr:colOff>
      <xdr:row>4</xdr:row>
      <xdr:rowOff>85725</xdr:rowOff>
    </xdr:to>
    <xdr:pic>
      <xdr:nvPicPr>
        <xdr:cNvPr id="46162" name="Picture 17">
          <a:hlinkClick xmlns:r="http://schemas.openxmlformats.org/officeDocument/2006/relationships" r:id="rId8" tooltip="Go To Weight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42925"/>
          <a:ext cx="895350" cy="228600"/>
        </a:xfrm>
        <a:prstGeom prst="rect">
          <a:avLst/>
        </a:prstGeom>
        <a:noFill/>
        <a:ln w="9525">
          <a:noFill/>
          <a:miter lim="800000"/>
          <a:headEnd/>
          <a:tailEnd/>
        </a:ln>
      </xdr:spPr>
    </xdr:pic>
    <xdr:clientData fPrintsWithSheet="0"/>
  </xdr:twoCellAnchor>
  <xdr:twoCellAnchor editAs="absolute">
    <xdr:from>
      <xdr:col>0</xdr:col>
      <xdr:colOff>66675</xdr:colOff>
      <xdr:row>4</xdr:row>
      <xdr:rowOff>85725</xdr:rowOff>
    </xdr:from>
    <xdr:to>
      <xdr:col>0</xdr:col>
      <xdr:colOff>962025</xdr:colOff>
      <xdr:row>5</xdr:row>
      <xdr:rowOff>142875</xdr:rowOff>
    </xdr:to>
    <xdr:pic>
      <xdr:nvPicPr>
        <xdr:cNvPr id="46163" name="Picture 18">
          <a:hlinkClick xmlns:r="http://schemas.openxmlformats.org/officeDocument/2006/relationships" r:id="rId10" tooltip="Go To Tensions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771525"/>
          <a:ext cx="895350" cy="228600"/>
        </a:xfrm>
        <a:prstGeom prst="rect">
          <a:avLst/>
        </a:prstGeom>
        <a:noFill/>
        <a:ln w="9525">
          <a:noFill/>
          <a:miter lim="800000"/>
          <a:headEnd/>
          <a:tailEnd/>
        </a:ln>
      </xdr:spPr>
    </xdr:pic>
    <xdr:clientData fPrintsWithSheet="0"/>
  </xdr:twoCellAnchor>
  <xdr:twoCellAnchor editAs="absolute">
    <xdr:from>
      <xdr:col>0</xdr:col>
      <xdr:colOff>66675</xdr:colOff>
      <xdr:row>5</xdr:row>
      <xdr:rowOff>142875</xdr:rowOff>
    </xdr:from>
    <xdr:to>
      <xdr:col>0</xdr:col>
      <xdr:colOff>962025</xdr:colOff>
      <xdr:row>7</xdr:row>
      <xdr:rowOff>28575</xdr:rowOff>
    </xdr:to>
    <xdr:pic>
      <xdr:nvPicPr>
        <xdr:cNvPr id="46164" name="Picture 19">
          <a:hlinkClick xmlns:r="http://schemas.openxmlformats.org/officeDocument/2006/relationships" r:id="rId12" tooltip="Go To Equipment Menu"/>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1000125"/>
          <a:ext cx="895350" cy="228600"/>
        </a:xfrm>
        <a:prstGeom prst="rect">
          <a:avLst/>
        </a:prstGeom>
        <a:noFill/>
        <a:ln w="9525">
          <a:noFill/>
          <a:miter lim="800000"/>
          <a:headEnd/>
          <a:tailEnd/>
        </a:ln>
      </xdr:spPr>
    </xdr:pic>
    <xdr:clientData fPrintsWithSheet="0"/>
  </xdr:twoCellAnchor>
  <xdr:twoCellAnchor editAs="absolute">
    <xdr:from>
      <xdr:col>0</xdr:col>
      <xdr:colOff>123825</xdr:colOff>
      <xdr:row>7</xdr:row>
      <xdr:rowOff>47625</xdr:rowOff>
    </xdr:from>
    <xdr:to>
      <xdr:col>0</xdr:col>
      <xdr:colOff>352425</xdr:colOff>
      <xdr:row>8</xdr:row>
      <xdr:rowOff>114300</xdr:rowOff>
    </xdr:to>
    <xdr:pic>
      <xdr:nvPicPr>
        <xdr:cNvPr id="46165" name="Picture 20" descr="Code Information">
          <a:hlinkClick xmlns:r="http://schemas.openxmlformats.org/officeDocument/2006/relationships" r:id="rId14" tooltip="Code Information"/>
        </xdr:cNvPr>
        <xdr:cNvPicPr>
          <a:picLocks noChangeAspect="1" noChangeArrowheads="1"/>
        </xdr:cNvPicPr>
      </xdr:nvPicPr>
      <xdr:blipFill>
        <a:blip xmlns:r="http://schemas.openxmlformats.org/officeDocument/2006/relationships" r:embed="rId15" cstate="print"/>
        <a:srcRect/>
        <a:stretch>
          <a:fillRect/>
        </a:stretch>
      </xdr:blipFill>
      <xdr:spPr bwMode="auto">
        <a:xfrm>
          <a:off x="123825" y="1247775"/>
          <a:ext cx="228600" cy="228600"/>
        </a:xfrm>
        <a:prstGeom prst="rect">
          <a:avLst/>
        </a:prstGeom>
        <a:noFill/>
        <a:ln w="9525">
          <a:noFill/>
          <a:miter lim="800000"/>
          <a:headEnd/>
          <a:tailEnd/>
        </a:ln>
      </xdr:spPr>
    </xdr:pic>
    <xdr:clientData fPrintsWithSheet="0"/>
  </xdr:twoCellAnchor>
  <xdr:twoCellAnchor editAs="absolute">
    <xdr:from>
      <xdr:col>0</xdr:col>
      <xdr:colOff>381000</xdr:colOff>
      <xdr:row>7</xdr:row>
      <xdr:rowOff>47625</xdr:rowOff>
    </xdr:from>
    <xdr:to>
      <xdr:col>0</xdr:col>
      <xdr:colOff>609600</xdr:colOff>
      <xdr:row>8</xdr:row>
      <xdr:rowOff>114300</xdr:rowOff>
    </xdr:to>
    <xdr:pic>
      <xdr:nvPicPr>
        <xdr:cNvPr id="46166" name="Picture 21" descr="help">
          <a:hlinkClick xmlns:r="http://schemas.openxmlformats.org/officeDocument/2006/relationships" r:id="rId16" tooltip="Help"/>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81000" y="1247775"/>
          <a:ext cx="228600" cy="228600"/>
        </a:xfrm>
        <a:prstGeom prst="rect">
          <a:avLst/>
        </a:prstGeom>
        <a:noFill/>
        <a:ln w="9525">
          <a:noFill/>
          <a:miter lim="800000"/>
          <a:headEnd/>
          <a:tailEnd/>
        </a:ln>
      </xdr:spPr>
    </xdr:pic>
    <xdr:clientData fPrintsWithSheet="0"/>
  </xdr:twoCellAnchor>
  <xdr:twoCellAnchor editAs="absolute">
    <xdr:from>
      <xdr:col>0</xdr:col>
      <xdr:colOff>647700</xdr:colOff>
      <xdr:row>7</xdr:row>
      <xdr:rowOff>47625</xdr:rowOff>
    </xdr:from>
    <xdr:to>
      <xdr:col>0</xdr:col>
      <xdr:colOff>876300</xdr:colOff>
      <xdr:row>8</xdr:row>
      <xdr:rowOff>114300</xdr:rowOff>
    </xdr:to>
    <xdr:pic>
      <xdr:nvPicPr>
        <xdr:cNvPr id="46167" name="Picture 22" descr="star">
          <a:hlinkClick xmlns:r="http://schemas.openxmlformats.org/officeDocument/2006/relationships" r:id="rId18" tooltip="Conversions"/>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47700" y="1247775"/>
          <a:ext cx="228600" cy="228600"/>
        </a:xfrm>
        <a:prstGeom prst="rect">
          <a:avLst/>
        </a:prstGeom>
        <a:noFill/>
        <a:ln w="9525">
          <a:noFill/>
          <a:miter lim="800000"/>
          <a:headEnd/>
          <a:tailEnd/>
        </a:ln>
      </xdr:spPr>
    </xdr:pic>
    <xdr:clientData fPrintsWithSheet="0"/>
  </xdr:twoCellAnchor>
  <xdr:twoCellAnchor>
    <xdr:from>
      <xdr:col>4</xdr:col>
      <xdr:colOff>200025</xdr:colOff>
      <xdr:row>27</xdr:row>
      <xdr:rowOff>57150</xdr:rowOff>
    </xdr:from>
    <xdr:to>
      <xdr:col>10</xdr:col>
      <xdr:colOff>142875</xdr:colOff>
      <xdr:row>32</xdr:row>
      <xdr:rowOff>47625</xdr:rowOff>
    </xdr:to>
    <xdr:sp macro="" textlink="">
      <xdr:nvSpPr>
        <xdr:cNvPr id="46103" name="Text Box 23"/>
        <xdr:cNvSpPr txBox="1">
          <a:spLocks noChangeArrowheads="1"/>
        </xdr:cNvSpPr>
      </xdr:nvSpPr>
      <xdr:spPr bwMode="auto">
        <a:xfrm>
          <a:off x="3209925" y="4686300"/>
          <a:ext cx="2819400" cy="8001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FF"/>
              </a:solidFill>
              <a:latin typeface="Arial"/>
              <a:cs typeface="Arial"/>
            </a:rPr>
            <a:t>These are representative values only!</a:t>
          </a:r>
          <a:endParaRPr lang="en-GB" sz="900" b="1" i="0" u="none" strike="noStrike" baseline="0">
            <a:solidFill>
              <a:srgbClr val="000000"/>
            </a:solidFill>
            <a:latin typeface="Arial"/>
            <a:cs typeface="Arial"/>
          </a:endParaRPr>
        </a:p>
        <a:p>
          <a:pPr algn="ctr" rtl="0">
            <a:defRPr sz="1000"/>
          </a:pPr>
          <a:endParaRPr lang="en-GB" sz="900" b="1" i="0" u="none" strike="noStrike" baseline="0">
            <a:solidFill>
              <a:srgbClr val="000000"/>
            </a:solidFill>
            <a:latin typeface="Arial"/>
            <a:cs typeface="Arial"/>
          </a:endParaRPr>
        </a:p>
        <a:p>
          <a:pPr algn="ctr" rtl="0">
            <a:defRPr sz="1000"/>
          </a:pPr>
          <a:r>
            <a:rPr lang="en-GB" sz="900" b="1" i="0" u="none" strike="noStrike" baseline="0">
              <a:solidFill>
                <a:srgbClr val="FF0000"/>
              </a:solidFill>
              <a:latin typeface="Arial"/>
              <a:cs typeface="Arial"/>
            </a:rPr>
            <a:t>ALWAYS  verify the actual</a:t>
          </a:r>
        </a:p>
        <a:p>
          <a:pPr algn="ctr" rtl="0">
            <a:defRPr sz="1000"/>
          </a:pPr>
          <a:r>
            <a:rPr lang="en-GB" sz="900" b="1" i="0" u="none" strike="noStrike" baseline="0">
              <a:solidFill>
                <a:srgbClr val="FF0000"/>
              </a:solidFill>
              <a:latin typeface="Arial"/>
              <a:cs typeface="Arial"/>
            </a:rPr>
            <a:t>Working Load Limits and dimensional values (per the manufacturer) BEFORE USING this equipment.</a:t>
          </a:r>
        </a:p>
      </xdr:txBody>
    </xdr:sp>
    <xdr:clientData/>
  </xdr:twoCellAnchor>
  <mc:AlternateContent xmlns:mc="http://schemas.openxmlformats.org/markup-compatibility/2006">
    <mc:Choice xmlns:a14="http://schemas.microsoft.com/office/drawing/2010/main" Requires="a14">
      <xdr:twoCellAnchor editAs="absolute">
        <xdr:from>
          <xdr:col>0</xdr:col>
          <xdr:colOff>38100</xdr:colOff>
          <xdr:row>21</xdr:row>
          <xdr:rowOff>9525</xdr:rowOff>
        </xdr:from>
        <xdr:to>
          <xdr:col>2</xdr:col>
          <xdr:colOff>542925</xdr:colOff>
          <xdr:row>22</xdr:row>
          <xdr:rowOff>9525</xdr:rowOff>
        </xdr:to>
        <xdr:sp macro="" textlink="">
          <xdr:nvSpPr>
            <xdr:cNvPr id="46086" name="Drop Down 6" hidden="1">
              <a:extLst>
                <a:ext uri="{63B3BB69-23CF-44E3-9099-C40C66FF867C}">
                  <a14:compatExt spid="_x0000_s460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9525</xdr:colOff>
          <xdr:row>21</xdr:row>
          <xdr:rowOff>0</xdr:rowOff>
        </xdr:from>
        <xdr:to>
          <xdr:col>11</xdr:col>
          <xdr:colOff>209550</xdr:colOff>
          <xdr:row>22</xdr:row>
          <xdr:rowOff>0</xdr:rowOff>
        </xdr:to>
        <xdr:sp macro="" textlink="">
          <xdr:nvSpPr>
            <xdr:cNvPr id="46087" name="Drop Down 7" hidden="1">
              <a:extLst>
                <a:ext uri="{63B3BB69-23CF-44E3-9099-C40C66FF867C}">
                  <a14:compatExt spid="_x0000_s46087"/>
                </a:ext>
              </a:extLst>
            </xdr:cNvPr>
            <xdr:cNvSpPr/>
          </xdr:nvSpPr>
          <xdr:spPr>
            <a:xfrm>
              <a:off x="0" y="0"/>
              <a:ext cx="0" cy="0"/>
            </a:xfrm>
            <a:prstGeom prst="rect">
              <a:avLst/>
            </a:prstGeom>
          </xdr:spPr>
        </xdr:sp>
        <xdr:clientData fLocksWithSheet="0"/>
      </xdr:twoCellAnchor>
    </mc:Choice>
    <mc:Fallback/>
  </mc:AlternateContent>
</xdr:wsDr>
</file>

<file path=xl/drawings/drawing43.xml><?xml version="1.0" encoding="utf-8"?>
<xdr:wsDr xmlns:xdr="http://schemas.openxmlformats.org/drawingml/2006/spreadsheetDrawing" xmlns:a="http://schemas.openxmlformats.org/drawingml/2006/main">
  <xdr:twoCellAnchor editAs="oneCell">
    <xdr:from>
      <xdr:col>2</xdr:col>
      <xdr:colOff>47625</xdr:colOff>
      <xdr:row>2</xdr:row>
      <xdr:rowOff>9525</xdr:rowOff>
    </xdr:from>
    <xdr:to>
      <xdr:col>6</xdr:col>
      <xdr:colOff>381000</xdr:colOff>
      <xdr:row>12</xdr:row>
      <xdr:rowOff>104775</xdr:rowOff>
    </xdr:to>
    <xdr:pic>
      <xdr:nvPicPr>
        <xdr:cNvPr id="44112"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1752600" y="390525"/>
          <a:ext cx="2771775" cy="1943100"/>
        </a:xfrm>
        <a:prstGeom prst="rect">
          <a:avLst/>
        </a:prstGeom>
        <a:noFill/>
        <a:ln w="9525">
          <a:noFill/>
          <a:miter lim="800000"/>
          <a:headEnd/>
          <a:tailEnd/>
        </a:ln>
      </xdr:spPr>
    </xdr:pic>
    <xdr:clientData/>
  </xdr:twoCellAnchor>
  <xdr:twoCellAnchor>
    <xdr:from>
      <xdr:col>9</xdr:col>
      <xdr:colOff>28575</xdr:colOff>
      <xdr:row>15</xdr:row>
      <xdr:rowOff>66675</xdr:rowOff>
    </xdr:from>
    <xdr:to>
      <xdr:col>11</xdr:col>
      <xdr:colOff>542925</xdr:colOff>
      <xdr:row>21</xdr:row>
      <xdr:rowOff>66675</xdr:rowOff>
    </xdr:to>
    <xdr:sp macro="" textlink="">
      <xdr:nvSpPr>
        <xdr:cNvPr id="44040" name="Text 8"/>
        <xdr:cNvSpPr>
          <a:spLocks noChangeArrowheads="1"/>
        </xdr:cNvSpPr>
      </xdr:nvSpPr>
      <xdr:spPr bwMode="auto">
        <a:xfrm>
          <a:off x="6191250" y="2886075"/>
          <a:ext cx="2209800" cy="104775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en-GB" sz="1000" b="1" i="0" u="none" strike="noStrike" baseline="0">
              <a:solidFill>
                <a:srgbClr val="000000"/>
              </a:solidFill>
              <a:latin typeface="Arial"/>
              <a:cs typeface="Arial"/>
            </a:rPr>
            <a:t>NOTE:</a:t>
          </a:r>
          <a:r>
            <a:rPr lang="en-GB" sz="1000" b="0" i="0" u="none" strike="noStrike" baseline="0">
              <a:solidFill>
                <a:srgbClr val="000000"/>
              </a:solidFill>
              <a:latin typeface="Arial"/>
              <a:cs typeface="Arial"/>
            </a:rPr>
            <a:t> </a:t>
          </a:r>
          <a:r>
            <a:rPr lang="en-GB" sz="1000" b="1" i="0" u="none" strike="noStrike" baseline="0">
              <a:solidFill>
                <a:srgbClr val="000000"/>
              </a:solidFill>
              <a:latin typeface="Arial"/>
              <a:cs typeface="Arial"/>
            </a:rPr>
            <a:t>Shackles are rated for </a:t>
          </a:r>
        </a:p>
        <a:p>
          <a:pPr algn="ctr" rtl="0">
            <a:defRPr sz="1000"/>
          </a:pPr>
          <a:r>
            <a:rPr lang="en-GB" sz="1000" b="1" i="0" u="none" strike="noStrike" baseline="0">
              <a:solidFill>
                <a:srgbClr val="000000"/>
              </a:solidFill>
              <a:latin typeface="Arial"/>
              <a:cs typeface="Arial"/>
            </a:rPr>
            <a:t>in-line loading.  When a shackle is side loaded the WLL must be reduced as shown above. </a:t>
          </a:r>
        </a:p>
        <a:p>
          <a:pPr algn="ctr" rtl="0">
            <a:defRPr sz="1000"/>
          </a:pPr>
          <a:r>
            <a:rPr lang="en-GB" sz="1000" b="1" i="0" u="none" strike="noStrike" baseline="0">
              <a:solidFill>
                <a:srgbClr val="000000"/>
              </a:solidFill>
              <a:latin typeface="Arial"/>
              <a:cs typeface="Arial"/>
            </a:rPr>
            <a:t>(ASME B30.26)</a:t>
          </a:r>
        </a:p>
      </xdr:txBody>
    </xdr:sp>
    <xdr:clientData/>
  </xdr:twoCellAnchor>
  <xdr:twoCellAnchor editAs="absolute">
    <xdr:from>
      <xdr:col>0</xdr:col>
      <xdr:colOff>66675</xdr:colOff>
      <xdr:row>0</xdr:row>
      <xdr:rowOff>66675</xdr:rowOff>
    </xdr:from>
    <xdr:to>
      <xdr:col>0</xdr:col>
      <xdr:colOff>962025</xdr:colOff>
      <xdr:row>1</xdr:row>
      <xdr:rowOff>123825</xdr:rowOff>
    </xdr:to>
    <xdr:pic>
      <xdr:nvPicPr>
        <xdr:cNvPr id="44114" name="Picture 17">
          <a:hlinkClick xmlns:r="http://schemas.openxmlformats.org/officeDocument/2006/relationships" r:id="rId2" tooltip="Return to Main Menu"/>
        </xdr:cNvPr>
        <xdr:cNvPicPr>
          <a:picLocks noChangeAspect="1" noChangeArrowheads="1"/>
        </xdr:cNvPicPr>
      </xdr:nvPicPr>
      <xdr:blipFill>
        <a:blip xmlns:r="http://schemas.openxmlformats.org/officeDocument/2006/relationships" r:embed="rId3" cstate="print"/>
        <a:srcRect/>
        <a:stretch>
          <a:fillRect/>
        </a:stretch>
      </xdr:blipFill>
      <xdr:spPr bwMode="auto">
        <a:xfrm>
          <a:off x="66675" y="66675"/>
          <a:ext cx="895350" cy="228600"/>
        </a:xfrm>
        <a:prstGeom prst="rect">
          <a:avLst/>
        </a:prstGeom>
        <a:noFill/>
        <a:ln w="9525">
          <a:noFill/>
          <a:miter lim="800000"/>
          <a:headEnd/>
          <a:tailEnd/>
        </a:ln>
      </xdr:spPr>
    </xdr:pic>
    <xdr:clientData fPrintsWithSheet="0"/>
  </xdr:twoCellAnchor>
  <xdr:twoCellAnchor editAs="absolute">
    <xdr:from>
      <xdr:col>0</xdr:col>
      <xdr:colOff>66675</xdr:colOff>
      <xdr:row>1</xdr:row>
      <xdr:rowOff>133350</xdr:rowOff>
    </xdr:from>
    <xdr:to>
      <xdr:col>0</xdr:col>
      <xdr:colOff>962025</xdr:colOff>
      <xdr:row>2</xdr:row>
      <xdr:rowOff>152400</xdr:rowOff>
    </xdr:to>
    <xdr:pic>
      <xdr:nvPicPr>
        <xdr:cNvPr id="44115" name="Picture 18">
          <a:hlinkClick xmlns:r="http://schemas.openxmlformats.org/officeDocument/2006/relationships" r:id="rId4" tooltip="Go To Master Index"/>
        </xdr:cNvPr>
        <xdr:cNvPicPr>
          <a:picLocks noChangeAspect="1" noChangeArrowheads="1"/>
        </xdr:cNvPicPr>
      </xdr:nvPicPr>
      <xdr:blipFill>
        <a:blip xmlns:r="http://schemas.openxmlformats.org/officeDocument/2006/relationships" r:embed="rId5" cstate="print"/>
        <a:srcRect/>
        <a:stretch>
          <a:fillRect/>
        </a:stretch>
      </xdr:blipFill>
      <xdr:spPr bwMode="auto">
        <a:xfrm>
          <a:off x="66675" y="304800"/>
          <a:ext cx="895350" cy="228600"/>
        </a:xfrm>
        <a:prstGeom prst="rect">
          <a:avLst/>
        </a:prstGeom>
        <a:noFill/>
        <a:ln w="9525">
          <a:noFill/>
          <a:miter lim="800000"/>
          <a:headEnd/>
          <a:tailEnd/>
        </a:ln>
      </xdr:spPr>
    </xdr:pic>
    <xdr:clientData fPrintsWithSheet="0"/>
  </xdr:twoCellAnchor>
  <xdr:twoCellAnchor editAs="absolute">
    <xdr:from>
      <xdr:col>0</xdr:col>
      <xdr:colOff>66675</xdr:colOff>
      <xdr:row>3</xdr:row>
      <xdr:rowOff>19050</xdr:rowOff>
    </xdr:from>
    <xdr:to>
      <xdr:col>0</xdr:col>
      <xdr:colOff>962025</xdr:colOff>
      <xdr:row>4</xdr:row>
      <xdr:rowOff>76200</xdr:rowOff>
    </xdr:to>
    <xdr:pic>
      <xdr:nvPicPr>
        <xdr:cNvPr id="44116" name="Picture 19">
          <a:hlinkClick xmlns:r="http://schemas.openxmlformats.org/officeDocument/2006/relationships" r:id="rId6" tooltip="Go To Weights Menu"/>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5" y="561975"/>
          <a:ext cx="895350" cy="228600"/>
        </a:xfrm>
        <a:prstGeom prst="rect">
          <a:avLst/>
        </a:prstGeom>
        <a:noFill/>
        <a:ln w="9525">
          <a:noFill/>
          <a:miter lim="800000"/>
          <a:headEnd/>
          <a:tailEnd/>
        </a:ln>
      </xdr:spPr>
    </xdr:pic>
    <xdr:clientData fPrintsWithSheet="0"/>
  </xdr:twoCellAnchor>
  <xdr:twoCellAnchor editAs="absolute">
    <xdr:from>
      <xdr:col>0</xdr:col>
      <xdr:colOff>66675</xdr:colOff>
      <xdr:row>4</xdr:row>
      <xdr:rowOff>76200</xdr:rowOff>
    </xdr:from>
    <xdr:to>
      <xdr:col>0</xdr:col>
      <xdr:colOff>962025</xdr:colOff>
      <xdr:row>5</xdr:row>
      <xdr:rowOff>95250</xdr:rowOff>
    </xdr:to>
    <xdr:pic>
      <xdr:nvPicPr>
        <xdr:cNvPr id="44117" name="Picture 20">
          <a:hlinkClick xmlns:r="http://schemas.openxmlformats.org/officeDocument/2006/relationships" r:id="rId8" tooltip="Go To Tension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790575"/>
          <a:ext cx="895350" cy="228600"/>
        </a:xfrm>
        <a:prstGeom prst="rect">
          <a:avLst/>
        </a:prstGeom>
        <a:noFill/>
        <a:ln w="9525">
          <a:noFill/>
          <a:miter lim="800000"/>
          <a:headEnd/>
          <a:tailEnd/>
        </a:ln>
      </xdr:spPr>
    </xdr:pic>
    <xdr:clientData fPrintsWithSheet="0"/>
  </xdr:twoCellAnchor>
  <xdr:twoCellAnchor editAs="absolute">
    <xdr:from>
      <xdr:col>0</xdr:col>
      <xdr:colOff>66675</xdr:colOff>
      <xdr:row>5</xdr:row>
      <xdr:rowOff>95250</xdr:rowOff>
    </xdr:from>
    <xdr:to>
      <xdr:col>0</xdr:col>
      <xdr:colOff>962025</xdr:colOff>
      <xdr:row>6</xdr:row>
      <xdr:rowOff>152400</xdr:rowOff>
    </xdr:to>
    <xdr:pic>
      <xdr:nvPicPr>
        <xdr:cNvPr id="44118" name="Picture 21">
          <a:hlinkClick xmlns:r="http://schemas.openxmlformats.org/officeDocument/2006/relationships" r:id="rId10" tooltip="Go To Equipment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1019175"/>
          <a:ext cx="895350" cy="228600"/>
        </a:xfrm>
        <a:prstGeom prst="rect">
          <a:avLst/>
        </a:prstGeom>
        <a:noFill/>
        <a:ln w="9525">
          <a:noFill/>
          <a:miter lim="800000"/>
          <a:headEnd/>
          <a:tailEnd/>
        </a:ln>
      </xdr:spPr>
    </xdr:pic>
    <xdr:clientData fPrintsWithSheet="0"/>
  </xdr:twoCellAnchor>
  <xdr:twoCellAnchor editAs="absolute">
    <xdr:from>
      <xdr:col>0</xdr:col>
      <xdr:colOff>133350</xdr:colOff>
      <xdr:row>6</xdr:row>
      <xdr:rowOff>200025</xdr:rowOff>
    </xdr:from>
    <xdr:to>
      <xdr:col>0</xdr:col>
      <xdr:colOff>361950</xdr:colOff>
      <xdr:row>8</xdr:row>
      <xdr:rowOff>47625</xdr:rowOff>
    </xdr:to>
    <xdr:pic>
      <xdr:nvPicPr>
        <xdr:cNvPr id="44119" name="Picture 22" descr="Code Information">
          <a:hlinkClick xmlns:r="http://schemas.openxmlformats.org/officeDocument/2006/relationships" r:id="rId12" tooltip="Code Information"/>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33350" y="1295400"/>
          <a:ext cx="228600" cy="228600"/>
        </a:xfrm>
        <a:prstGeom prst="rect">
          <a:avLst/>
        </a:prstGeom>
        <a:noFill/>
        <a:ln w="9525">
          <a:noFill/>
          <a:miter lim="800000"/>
          <a:headEnd/>
          <a:tailEnd/>
        </a:ln>
      </xdr:spPr>
    </xdr:pic>
    <xdr:clientData fPrintsWithSheet="0"/>
  </xdr:twoCellAnchor>
  <xdr:twoCellAnchor editAs="absolute">
    <xdr:from>
      <xdr:col>0</xdr:col>
      <xdr:colOff>390525</xdr:colOff>
      <xdr:row>6</xdr:row>
      <xdr:rowOff>200025</xdr:rowOff>
    </xdr:from>
    <xdr:to>
      <xdr:col>0</xdr:col>
      <xdr:colOff>619125</xdr:colOff>
      <xdr:row>8</xdr:row>
      <xdr:rowOff>47625</xdr:rowOff>
    </xdr:to>
    <xdr:pic>
      <xdr:nvPicPr>
        <xdr:cNvPr id="44120" name="Picture 23" descr="help">
          <a:hlinkClick xmlns:r="http://schemas.openxmlformats.org/officeDocument/2006/relationships" r:id="rId14" tooltip="Help"/>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90525" y="1295400"/>
          <a:ext cx="228600" cy="228600"/>
        </a:xfrm>
        <a:prstGeom prst="rect">
          <a:avLst/>
        </a:prstGeom>
        <a:noFill/>
        <a:ln w="9525">
          <a:noFill/>
          <a:miter lim="800000"/>
          <a:headEnd/>
          <a:tailEnd/>
        </a:ln>
      </xdr:spPr>
    </xdr:pic>
    <xdr:clientData fPrintsWithSheet="0"/>
  </xdr:twoCellAnchor>
  <xdr:twoCellAnchor editAs="absolute">
    <xdr:from>
      <xdr:col>0</xdr:col>
      <xdr:colOff>657225</xdr:colOff>
      <xdr:row>6</xdr:row>
      <xdr:rowOff>200025</xdr:rowOff>
    </xdr:from>
    <xdr:to>
      <xdr:col>0</xdr:col>
      <xdr:colOff>885825</xdr:colOff>
      <xdr:row>8</xdr:row>
      <xdr:rowOff>47625</xdr:rowOff>
    </xdr:to>
    <xdr:pic>
      <xdr:nvPicPr>
        <xdr:cNvPr id="44121" name="Picture 24" descr="star">
          <a:hlinkClick xmlns:r="http://schemas.openxmlformats.org/officeDocument/2006/relationships" r:id="rId16" tooltip="Conversions"/>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57225" y="1295400"/>
          <a:ext cx="228600" cy="228600"/>
        </a:xfrm>
        <a:prstGeom prst="rect">
          <a:avLst/>
        </a:prstGeom>
        <a:noFill/>
        <a:ln w="9525">
          <a:noFill/>
          <a:miter lim="800000"/>
          <a:headEnd/>
          <a:tailEnd/>
        </a:ln>
      </xdr:spPr>
    </xdr:pic>
    <xdr:clientData fPrintsWithSheet="0"/>
  </xdr:twoCellAnchor>
  <xdr:twoCellAnchor>
    <xdr:from>
      <xdr:col>3</xdr:col>
      <xdr:colOff>390525</xdr:colOff>
      <xdr:row>19</xdr:row>
      <xdr:rowOff>104775</xdr:rowOff>
    </xdr:from>
    <xdr:to>
      <xdr:col>8</xdr:col>
      <xdr:colOff>66675</xdr:colOff>
      <xdr:row>24</xdr:row>
      <xdr:rowOff>95250</xdr:rowOff>
    </xdr:to>
    <xdr:sp macro="" textlink="">
      <xdr:nvSpPr>
        <xdr:cNvPr id="44057" name="Text Box 25"/>
        <xdr:cNvSpPr txBox="1">
          <a:spLocks noChangeArrowheads="1"/>
        </xdr:cNvSpPr>
      </xdr:nvSpPr>
      <xdr:spPr bwMode="auto">
        <a:xfrm>
          <a:off x="2705100" y="3648075"/>
          <a:ext cx="2819400" cy="8001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FF"/>
              </a:solidFill>
              <a:latin typeface="Arial"/>
              <a:cs typeface="Arial"/>
            </a:rPr>
            <a:t>These are representative values only!</a:t>
          </a:r>
          <a:endParaRPr lang="en-GB" sz="900" b="1" i="0" u="none" strike="noStrike" baseline="0">
            <a:solidFill>
              <a:srgbClr val="000000"/>
            </a:solidFill>
            <a:latin typeface="Arial"/>
            <a:cs typeface="Arial"/>
          </a:endParaRPr>
        </a:p>
        <a:p>
          <a:pPr algn="ctr" rtl="0">
            <a:defRPr sz="1000"/>
          </a:pPr>
          <a:endParaRPr lang="en-GB" sz="900" b="1" i="0" u="none" strike="noStrike" baseline="0">
            <a:solidFill>
              <a:srgbClr val="000000"/>
            </a:solidFill>
            <a:latin typeface="Arial"/>
            <a:cs typeface="Arial"/>
          </a:endParaRPr>
        </a:p>
        <a:p>
          <a:pPr algn="ctr" rtl="0">
            <a:defRPr sz="1000"/>
          </a:pPr>
          <a:r>
            <a:rPr lang="en-GB" sz="900" b="1" i="0" u="none" strike="noStrike" baseline="0">
              <a:solidFill>
                <a:srgbClr val="FF0000"/>
              </a:solidFill>
              <a:latin typeface="Arial"/>
              <a:cs typeface="Arial"/>
            </a:rPr>
            <a:t>ALWAYS  verify the actual</a:t>
          </a:r>
        </a:p>
        <a:p>
          <a:pPr algn="ctr" rtl="0">
            <a:defRPr sz="1000"/>
          </a:pPr>
          <a:r>
            <a:rPr lang="en-GB" sz="900" b="1" i="0" u="none" strike="noStrike" baseline="0">
              <a:solidFill>
                <a:srgbClr val="FF0000"/>
              </a:solidFill>
              <a:latin typeface="Arial"/>
              <a:cs typeface="Arial"/>
            </a:rPr>
            <a:t>Working Load Limits and dimensional values (per the manufacturer) BEFORE USING this equipment.</a:t>
          </a:r>
        </a:p>
      </xdr:txBody>
    </xdr:sp>
    <xdr:clientData/>
  </xdr:twoCellAnchor>
  <xdr:twoCellAnchor editAs="oneCell">
    <xdr:from>
      <xdr:col>6</xdr:col>
      <xdr:colOff>600075</xdr:colOff>
      <xdr:row>1</xdr:row>
      <xdr:rowOff>123825</xdr:rowOff>
    </xdr:from>
    <xdr:to>
      <xdr:col>10</xdr:col>
      <xdr:colOff>390525</xdr:colOff>
      <xdr:row>14</xdr:row>
      <xdr:rowOff>104775</xdr:rowOff>
    </xdr:to>
    <xdr:pic>
      <xdr:nvPicPr>
        <xdr:cNvPr id="44123" name="Picture 26"/>
        <xdr:cNvPicPr>
          <a:picLocks noChangeAspect="1" noChangeArrowheads="1"/>
        </xdr:cNvPicPr>
      </xdr:nvPicPr>
      <xdr:blipFill>
        <a:blip xmlns:r="http://schemas.openxmlformats.org/officeDocument/2006/relationships" r:embed="rId18" cstate="print"/>
        <a:srcRect/>
        <a:stretch>
          <a:fillRect/>
        </a:stretch>
      </xdr:blipFill>
      <xdr:spPr bwMode="auto">
        <a:xfrm>
          <a:off x="4743450" y="295275"/>
          <a:ext cx="2990850" cy="2466975"/>
        </a:xfrm>
        <a:prstGeom prst="rect">
          <a:avLst/>
        </a:prstGeom>
        <a:noFill/>
        <a:ln w="9525">
          <a:noFill/>
          <a:miter lim="800000"/>
          <a:headEnd/>
          <a:tailEnd/>
        </a:ln>
      </xdr:spPr>
    </xdr:pic>
    <xdr:clientData/>
  </xdr:twoCellAnchor>
  <xdr:twoCellAnchor>
    <xdr:from>
      <xdr:col>6</xdr:col>
      <xdr:colOff>600075</xdr:colOff>
      <xdr:row>0</xdr:row>
      <xdr:rowOff>133350</xdr:rowOff>
    </xdr:from>
    <xdr:to>
      <xdr:col>12</xdr:col>
      <xdr:colOff>190500</xdr:colOff>
      <xdr:row>14</xdr:row>
      <xdr:rowOff>152400</xdr:rowOff>
    </xdr:to>
    <xdr:sp macro="" textlink="">
      <xdr:nvSpPr>
        <xdr:cNvPr id="44124" name="Rectangle 27"/>
        <xdr:cNvSpPr>
          <a:spLocks noChangeArrowheads="1"/>
        </xdr:cNvSpPr>
      </xdr:nvSpPr>
      <xdr:spPr bwMode="auto">
        <a:xfrm>
          <a:off x="4743450" y="133350"/>
          <a:ext cx="4391025" cy="2676525"/>
        </a:xfrm>
        <a:prstGeom prst="rect">
          <a:avLst/>
        </a:prstGeom>
        <a:noFill/>
        <a:ln w="19050">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676275</xdr:colOff>
          <xdr:row>17</xdr:row>
          <xdr:rowOff>142875</xdr:rowOff>
        </xdr:from>
        <xdr:to>
          <xdr:col>6</xdr:col>
          <xdr:colOff>0</xdr:colOff>
          <xdr:row>19</xdr:row>
          <xdr:rowOff>19050</xdr:rowOff>
        </xdr:to>
        <xdr:sp macro="" textlink="">
          <xdr:nvSpPr>
            <xdr:cNvPr id="44039" name="Drop Down 7" hidden="1">
              <a:extLst>
                <a:ext uri="{63B3BB69-23CF-44E3-9099-C40C66FF867C}">
                  <a14:compatExt spid="_x0000_s44039"/>
                </a:ext>
              </a:extLst>
            </xdr:cNvPr>
            <xdr:cNvSpPr/>
          </xdr:nvSpPr>
          <xdr:spPr>
            <a:xfrm>
              <a:off x="0" y="0"/>
              <a:ext cx="0" cy="0"/>
            </a:xfrm>
            <a:prstGeom prst="rect">
              <a:avLst/>
            </a:prstGeom>
          </xdr:spPr>
        </xdr:sp>
        <xdr:clientData fLocksWithSheet="0"/>
      </xdr:twoCellAnchor>
    </mc:Choice>
    <mc:Fallback/>
  </mc:AlternateContent>
</xdr:wsDr>
</file>

<file path=xl/drawings/drawing44.xml><?xml version="1.0" encoding="utf-8"?>
<xdr:wsDr xmlns:xdr="http://schemas.openxmlformats.org/drawingml/2006/spreadsheetDrawing" xmlns:a="http://schemas.openxmlformats.org/drawingml/2006/main">
  <xdr:twoCellAnchor>
    <xdr:from>
      <xdr:col>0</xdr:col>
      <xdr:colOff>228600</xdr:colOff>
      <xdr:row>24</xdr:row>
      <xdr:rowOff>114300</xdr:rowOff>
    </xdr:from>
    <xdr:to>
      <xdr:col>9</xdr:col>
      <xdr:colOff>609600</xdr:colOff>
      <xdr:row>26</xdr:row>
      <xdr:rowOff>142875</xdr:rowOff>
    </xdr:to>
    <xdr:sp macro="" textlink="">
      <xdr:nvSpPr>
        <xdr:cNvPr id="68611" name="Text 8"/>
        <xdr:cNvSpPr>
          <a:spLocks noChangeArrowheads="1"/>
        </xdr:cNvSpPr>
      </xdr:nvSpPr>
      <xdr:spPr bwMode="auto">
        <a:xfrm>
          <a:off x="228600" y="4457700"/>
          <a:ext cx="6505575" cy="3524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en-GB" sz="800" b="1" i="0" u="none" strike="noStrike" baseline="0">
              <a:solidFill>
                <a:srgbClr val="000000"/>
              </a:solidFill>
              <a:latin typeface="Arial"/>
              <a:cs typeface="Arial"/>
            </a:rPr>
            <a:t>NOTE:</a:t>
          </a:r>
          <a:r>
            <a:rPr lang="en-GB" sz="800" b="0" i="0" u="none" strike="noStrike" baseline="0">
              <a:solidFill>
                <a:srgbClr val="000000"/>
              </a:solidFill>
              <a:latin typeface="Arial"/>
              <a:cs typeface="Arial"/>
            </a:rPr>
            <a:t> </a:t>
          </a:r>
          <a:r>
            <a:rPr lang="en-GB" sz="800" b="1" i="0" u="none" strike="noStrike" baseline="0">
              <a:solidFill>
                <a:srgbClr val="000000"/>
              </a:solidFill>
              <a:latin typeface="Arial"/>
              <a:cs typeface="Arial"/>
            </a:rPr>
            <a:t>These Shackles are designed for Synthetic slings and are based on standards set by  WSTD-RS1 and WSTD-WS-1</a:t>
          </a:r>
        </a:p>
      </xdr:txBody>
    </xdr:sp>
    <xdr:clientData/>
  </xdr:twoCellAnchor>
  <xdr:twoCellAnchor editAs="oneCell">
    <xdr:from>
      <xdr:col>2</xdr:col>
      <xdr:colOff>19050</xdr:colOff>
      <xdr:row>1</xdr:row>
      <xdr:rowOff>190500</xdr:rowOff>
    </xdr:from>
    <xdr:to>
      <xdr:col>7</xdr:col>
      <xdr:colOff>323850</xdr:colOff>
      <xdr:row>12</xdr:row>
      <xdr:rowOff>66675</xdr:rowOff>
    </xdr:to>
    <xdr:pic>
      <xdr:nvPicPr>
        <xdr:cNvPr id="68687"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685925" y="361950"/>
          <a:ext cx="3352800" cy="1924050"/>
        </a:xfrm>
        <a:prstGeom prst="rect">
          <a:avLst/>
        </a:prstGeom>
        <a:noFill/>
        <a:ln w="9525">
          <a:noFill/>
          <a:miter lim="800000"/>
          <a:headEnd/>
          <a:tailEnd/>
        </a:ln>
      </xdr:spPr>
    </xdr:pic>
    <xdr:clientData/>
  </xdr:twoCellAnchor>
  <xdr:twoCellAnchor editAs="oneCell">
    <xdr:from>
      <xdr:col>7</xdr:col>
      <xdr:colOff>600075</xdr:colOff>
      <xdr:row>0</xdr:row>
      <xdr:rowOff>104775</xdr:rowOff>
    </xdr:from>
    <xdr:to>
      <xdr:col>9</xdr:col>
      <xdr:colOff>57150</xdr:colOff>
      <xdr:row>19</xdr:row>
      <xdr:rowOff>9525</xdr:rowOff>
    </xdr:to>
    <xdr:pic>
      <xdr:nvPicPr>
        <xdr:cNvPr id="68688" name="Picture 9"/>
        <xdr:cNvPicPr>
          <a:picLocks noChangeAspect="1" noChangeArrowheads="1"/>
        </xdr:cNvPicPr>
      </xdr:nvPicPr>
      <xdr:blipFill>
        <a:blip xmlns:r="http://schemas.openxmlformats.org/officeDocument/2006/relationships" r:embed="rId2" cstate="print"/>
        <a:srcRect/>
        <a:stretch>
          <a:fillRect/>
        </a:stretch>
      </xdr:blipFill>
      <xdr:spPr bwMode="auto">
        <a:xfrm>
          <a:off x="5314950" y="104775"/>
          <a:ext cx="866775" cy="3390900"/>
        </a:xfrm>
        <a:prstGeom prst="rect">
          <a:avLst/>
        </a:prstGeom>
        <a:noFill/>
        <a:ln w="9525">
          <a:noFill/>
          <a:miter lim="800000"/>
          <a:headEnd/>
          <a:tailEnd/>
        </a:ln>
      </xdr:spPr>
    </xdr:pic>
    <xdr:clientData/>
  </xdr:twoCellAnchor>
  <xdr:twoCellAnchor editAs="oneCell">
    <xdr:from>
      <xdr:col>5</xdr:col>
      <xdr:colOff>19050</xdr:colOff>
      <xdr:row>19</xdr:row>
      <xdr:rowOff>19050</xdr:rowOff>
    </xdr:from>
    <xdr:to>
      <xdr:col>6</xdr:col>
      <xdr:colOff>590550</xdr:colOff>
      <xdr:row>24</xdr:row>
      <xdr:rowOff>57150</xdr:rowOff>
    </xdr:to>
    <xdr:pic>
      <xdr:nvPicPr>
        <xdr:cNvPr id="68689" name="Picture 11"/>
        <xdr:cNvPicPr>
          <a:picLocks noChangeAspect="1" noChangeArrowheads="1"/>
        </xdr:cNvPicPr>
      </xdr:nvPicPr>
      <xdr:blipFill>
        <a:blip xmlns:r="http://schemas.openxmlformats.org/officeDocument/2006/relationships" r:embed="rId3" cstate="print"/>
        <a:srcRect/>
        <a:stretch>
          <a:fillRect/>
        </a:stretch>
      </xdr:blipFill>
      <xdr:spPr bwMode="auto">
        <a:xfrm>
          <a:off x="3514725" y="3505200"/>
          <a:ext cx="1181100" cy="895350"/>
        </a:xfrm>
        <a:prstGeom prst="rect">
          <a:avLst/>
        </a:prstGeom>
        <a:noFill/>
        <a:ln w="9525">
          <a:noFill/>
          <a:miter lim="800000"/>
          <a:headEnd/>
          <a:tailEnd/>
        </a:ln>
      </xdr:spPr>
    </xdr:pic>
    <xdr:clientData/>
  </xdr:twoCellAnchor>
  <xdr:twoCellAnchor editAs="absolute">
    <xdr:from>
      <xdr:col>0</xdr:col>
      <xdr:colOff>66675</xdr:colOff>
      <xdr:row>0</xdr:row>
      <xdr:rowOff>66675</xdr:rowOff>
    </xdr:from>
    <xdr:to>
      <xdr:col>0</xdr:col>
      <xdr:colOff>962025</xdr:colOff>
      <xdr:row>1</xdr:row>
      <xdr:rowOff>123825</xdr:rowOff>
    </xdr:to>
    <xdr:pic>
      <xdr:nvPicPr>
        <xdr:cNvPr id="68690" name="Picture 17">
          <a:hlinkClick xmlns:r="http://schemas.openxmlformats.org/officeDocument/2006/relationships" r:id="rId4" tooltip="Return to Main Menu"/>
        </xdr:cNvPr>
        <xdr:cNvPicPr>
          <a:picLocks noChangeAspect="1" noChangeArrowheads="1"/>
        </xdr:cNvPicPr>
      </xdr:nvPicPr>
      <xdr:blipFill>
        <a:blip xmlns:r="http://schemas.openxmlformats.org/officeDocument/2006/relationships" r:embed="rId5" cstate="print"/>
        <a:srcRect/>
        <a:stretch>
          <a:fillRect/>
        </a:stretch>
      </xdr:blipFill>
      <xdr:spPr bwMode="auto">
        <a:xfrm>
          <a:off x="66675" y="66675"/>
          <a:ext cx="895350" cy="228600"/>
        </a:xfrm>
        <a:prstGeom prst="rect">
          <a:avLst/>
        </a:prstGeom>
        <a:noFill/>
        <a:ln w="9525">
          <a:noFill/>
          <a:miter lim="800000"/>
          <a:headEnd/>
          <a:tailEnd/>
        </a:ln>
      </xdr:spPr>
    </xdr:pic>
    <xdr:clientData fPrintsWithSheet="0"/>
  </xdr:twoCellAnchor>
  <xdr:twoCellAnchor editAs="absolute">
    <xdr:from>
      <xdr:col>0</xdr:col>
      <xdr:colOff>66675</xdr:colOff>
      <xdr:row>1</xdr:row>
      <xdr:rowOff>133350</xdr:rowOff>
    </xdr:from>
    <xdr:to>
      <xdr:col>0</xdr:col>
      <xdr:colOff>962025</xdr:colOff>
      <xdr:row>2</xdr:row>
      <xdr:rowOff>152400</xdr:rowOff>
    </xdr:to>
    <xdr:pic>
      <xdr:nvPicPr>
        <xdr:cNvPr id="68691" name="Picture 18">
          <a:hlinkClick xmlns:r="http://schemas.openxmlformats.org/officeDocument/2006/relationships" r:id="rId6" tooltip="Go To Master Index"/>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5" y="304800"/>
          <a:ext cx="895350" cy="228600"/>
        </a:xfrm>
        <a:prstGeom prst="rect">
          <a:avLst/>
        </a:prstGeom>
        <a:noFill/>
        <a:ln w="9525">
          <a:noFill/>
          <a:miter lim="800000"/>
          <a:headEnd/>
          <a:tailEnd/>
        </a:ln>
      </xdr:spPr>
    </xdr:pic>
    <xdr:clientData fPrintsWithSheet="0"/>
  </xdr:twoCellAnchor>
  <xdr:twoCellAnchor editAs="absolute">
    <xdr:from>
      <xdr:col>0</xdr:col>
      <xdr:colOff>66675</xdr:colOff>
      <xdr:row>3</xdr:row>
      <xdr:rowOff>19050</xdr:rowOff>
    </xdr:from>
    <xdr:to>
      <xdr:col>0</xdr:col>
      <xdr:colOff>962025</xdr:colOff>
      <xdr:row>4</xdr:row>
      <xdr:rowOff>85725</xdr:rowOff>
    </xdr:to>
    <xdr:pic>
      <xdr:nvPicPr>
        <xdr:cNvPr id="68692" name="Picture 19">
          <a:hlinkClick xmlns:r="http://schemas.openxmlformats.org/officeDocument/2006/relationships" r:id="rId8" tooltip="Go To Weight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61975"/>
          <a:ext cx="895350" cy="228600"/>
        </a:xfrm>
        <a:prstGeom prst="rect">
          <a:avLst/>
        </a:prstGeom>
        <a:noFill/>
        <a:ln w="9525">
          <a:noFill/>
          <a:miter lim="800000"/>
          <a:headEnd/>
          <a:tailEnd/>
        </a:ln>
      </xdr:spPr>
    </xdr:pic>
    <xdr:clientData fPrintsWithSheet="0"/>
  </xdr:twoCellAnchor>
  <xdr:twoCellAnchor editAs="absolute">
    <xdr:from>
      <xdr:col>0</xdr:col>
      <xdr:colOff>66675</xdr:colOff>
      <xdr:row>4</xdr:row>
      <xdr:rowOff>85725</xdr:rowOff>
    </xdr:from>
    <xdr:to>
      <xdr:col>0</xdr:col>
      <xdr:colOff>962025</xdr:colOff>
      <xdr:row>5</xdr:row>
      <xdr:rowOff>104775</xdr:rowOff>
    </xdr:to>
    <xdr:pic>
      <xdr:nvPicPr>
        <xdr:cNvPr id="68693" name="Picture 20">
          <a:hlinkClick xmlns:r="http://schemas.openxmlformats.org/officeDocument/2006/relationships" r:id="rId10" tooltip="Go To Tensions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790575"/>
          <a:ext cx="895350" cy="228600"/>
        </a:xfrm>
        <a:prstGeom prst="rect">
          <a:avLst/>
        </a:prstGeom>
        <a:noFill/>
        <a:ln w="9525">
          <a:noFill/>
          <a:miter lim="800000"/>
          <a:headEnd/>
          <a:tailEnd/>
        </a:ln>
      </xdr:spPr>
    </xdr:pic>
    <xdr:clientData fPrintsWithSheet="0"/>
  </xdr:twoCellAnchor>
  <xdr:twoCellAnchor editAs="absolute">
    <xdr:from>
      <xdr:col>0</xdr:col>
      <xdr:colOff>66675</xdr:colOff>
      <xdr:row>5</xdr:row>
      <xdr:rowOff>104775</xdr:rowOff>
    </xdr:from>
    <xdr:to>
      <xdr:col>0</xdr:col>
      <xdr:colOff>962025</xdr:colOff>
      <xdr:row>6</xdr:row>
      <xdr:rowOff>161925</xdr:rowOff>
    </xdr:to>
    <xdr:pic>
      <xdr:nvPicPr>
        <xdr:cNvPr id="68694" name="Picture 21">
          <a:hlinkClick xmlns:r="http://schemas.openxmlformats.org/officeDocument/2006/relationships" r:id="rId12" tooltip="Go To Equipment Menu"/>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1019175"/>
          <a:ext cx="895350" cy="228600"/>
        </a:xfrm>
        <a:prstGeom prst="rect">
          <a:avLst/>
        </a:prstGeom>
        <a:noFill/>
        <a:ln w="9525">
          <a:noFill/>
          <a:miter lim="800000"/>
          <a:headEnd/>
          <a:tailEnd/>
        </a:ln>
      </xdr:spPr>
    </xdr:pic>
    <xdr:clientData fPrintsWithSheet="0"/>
  </xdr:twoCellAnchor>
  <xdr:twoCellAnchor editAs="absolute">
    <xdr:from>
      <xdr:col>0</xdr:col>
      <xdr:colOff>123825</xdr:colOff>
      <xdr:row>6</xdr:row>
      <xdr:rowOff>200025</xdr:rowOff>
    </xdr:from>
    <xdr:to>
      <xdr:col>0</xdr:col>
      <xdr:colOff>352425</xdr:colOff>
      <xdr:row>8</xdr:row>
      <xdr:rowOff>47625</xdr:rowOff>
    </xdr:to>
    <xdr:pic>
      <xdr:nvPicPr>
        <xdr:cNvPr id="68695" name="Picture 22" descr="Code Information">
          <a:hlinkClick xmlns:r="http://schemas.openxmlformats.org/officeDocument/2006/relationships" r:id="rId14" tooltip="Code Information"/>
        </xdr:cNvPr>
        <xdr:cNvPicPr>
          <a:picLocks noChangeAspect="1" noChangeArrowheads="1"/>
        </xdr:cNvPicPr>
      </xdr:nvPicPr>
      <xdr:blipFill>
        <a:blip xmlns:r="http://schemas.openxmlformats.org/officeDocument/2006/relationships" r:embed="rId15" cstate="print"/>
        <a:srcRect/>
        <a:stretch>
          <a:fillRect/>
        </a:stretch>
      </xdr:blipFill>
      <xdr:spPr bwMode="auto">
        <a:xfrm>
          <a:off x="123825" y="1285875"/>
          <a:ext cx="228600" cy="228600"/>
        </a:xfrm>
        <a:prstGeom prst="rect">
          <a:avLst/>
        </a:prstGeom>
        <a:noFill/>
        <a:ln w="9525">
          <a:noFill/>
          <a:miter lim="800000"/>
          <a:headEnd/>
          <a:tailEnd/>
        </a:ln>
      </xdr:spPr>
    </xdr:pic>
    <xdr:clientData fPrintsWithSheet="0"/>
  </xdr:twoCellAnchor>
  <xdr:twoCellAnchor editAs="absolute">
    <xdr:from>
      <xdr:col>0</xdr:col>
      <xdr:colOff>381000</xdr:colOff>
      <xdr:row>6</xdr:row>
      <xdr:rowOff>200025</xdr:rowOff>
    </xdr:from>
    <xdr:to>
      <xdr:col>0</xdr:col>
      <xdr:colOff>609600</xdr:colOff>
      <xdr:row>8</xdr:row>
      <xdr:rowOff>47625</xdr:rowOff>
    </xdr:to>
    <xdr:pic>
      <xdr:nvPicPr>
        <xdr:cNvPr id="68696" name="Picture 23" descr="help">
          <a:hlinkClick xmlns:r="http://schemas.openxmlformats.org/officeDocument/2006/relationships" r:id="rId16" tooltip="Help"/>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81000" y="1285875"/>
          <a:ext cx="228600" cy="228600"/>
        </a:xfrm>
        <a:prstGeom prst="rect">
          <a:avLst/>
        </a:prstGeom>
        <a:noFill/>
        <a:ln w="9525">
          <a:noFill/>
          <a:miter lim="800000"/>
          <a:headEnd/>
          <a:tailEnd/>
        </a:ln>
      </xdr:spPr>
    </xdr:pic>
    <xdr:clientData fPrintsWithSheet="0"/>
  </xdr:twoCellAnchor>
  <xdr:twoCellAnchor editAs="absolute">
    <xdr:from>
      <xdr:col>0</xdr:col>
      <xdr:colOff>647700</xdr:colOff>
      <xdr:row>6</xdr:row>
      <xdr:rowOff>200025</xdr:rowOff>
    </xdr:from>
    <xdr:to>
      <xdr:col>0</xdr:col>
      <xdr:colOff>876300</xdr:colOff>
      <xdr:row>8</xdr:row>
      <xdr:rowOff>47625</xdr:rowOff>
    </xdr:to>
    <xdr:pic>
      <xdr:nvPicPr>
        <xdr:cNvPr id="68697" name="Picture 24" descr="star">
          <a:hlinkClick xmlns:r="http://schemas.openxmlformats.org/officeDocument/2006/relationships" r:id="rId18" tooltip="Conversions"/>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47700" y="1285875"/>
          <a:ext cx="228600" cy="228600"/>
        </a:xfrm>
        <a:prstGeom prst="rect">
          <a:avLst/>
        </a:prstGeom>
        <a:noFill/>
        <a:ln w="9525">
          <a:noFill/>
          <a:miter lim="800000"/>
          <a:headEnd/>
          <a:tailEnd/>
        </a:ln>
      </xdr:spPr>
    </xdr:pic>
    <xdr:clientData fPrintsWithSheet="0"/>
  </xdr:twoCellAnchor>
  <xdr:twoCellAnchor>
    <xdr:from>
      <xdr:col>5</xdr:col>
      <xdr:colOff>200025</xdr:colOff>
      <xdr:row>27</xdr:row>
      <xdr:rowOff>28575</xdr:rowOff>
    </xdr:from>
    <xdr:to>
      <xdr:col>9</xdr:col>
      <xdr:colOff>390525</xdr:colOff>
      <xdr:row>32</xdr:row>
      <xdr:rowOff>0</xdr:rowOff>
    </xdr:to>
    <xdr:sp macro="" textlink="">
      <xdr:nvSpPr>
        <xdr:cNvPr id="68633" name="Text Box 25"/>
        <xdr:cNvSpPr txBox="1">
          <a:spLocks noChangeArrowheads="1"/>
        </xdr:cNvSpPr>
      </xdr:nvSpPr>
      <xdr:spPr bwMode="auto">
        <a:xfrm>
          <a:off x="3695700" y="4886325"/>
          <a:ext cx="2819400" cy="8001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FF"/>
              </a:solidFill>
              <a:latin typeface="Arial"/>
              <a:cs typeface="Arial"/>
            </a:rPr>
            <a:t>These are representative values only!</a:t>
          </a:r>
          <a:endParaRPr lang="en-GB" sz="900" b="1" i="0" u="none" strike="noStrike" baseline="0">
            <a:solidFill>
              <a:srgbClr val="000000"/>
            </a:solidFill>
            <a:latin typeface="Arial"/>
            <a:cs typeface="Arial"/>
          </a:endParaRPr>
        </a:p>
        <a:p>
          <a:pPr algn="ctr" rtl="0">
            <a:defRPr sz="1000"/>
          </a:pPr>
          <a:endParaRPr lang="en-GB" sz="900" b="1" i="0" u="none" strike="noStrike" baseline="0">
            <a:solidFill>
              <a:srgbClr val="000000"/>
            </a:solidFill>
            <a:latin typeface="Arial"/>
            <a:cs typeface="Arial"/>
          </a:endParaRPr>
        </a:p>
        <a:p>
          <a:pPr algn="ctr" rtl="0">
            <a:defRPr sz="1000"/>
          </a:pPr>
          <a:r>
            <a:rPr lang="en-GB" sz="900" b="1" i="0" u="none" strike="noStrike" baseline="0">
              <a:solidFill>
                <a:srgbClr val="FF0000"/>
              </a:solidFill>
              <a:latin typeface="Arial"/>
              <a:cs typeface="Arial"/>
            </a:rPr>
            <a:t>ALWAYS  verify the actual</a:t>
          </a:r>
        </a:p>
        <a:p>
          <a:pPr algn="ctr" rtl="0">
            <a:defRPr sz="1000"/>
          </a:pPr>
          <a:r>
            <a:rPr lang="en-GB" sz="900" b="1" i="0" u="none" strike="noStrike" baseline="0">
              <a:solidFill>
                <a:srgbClr val="FF0000"/>
              </a:solidFill>
              <a:latin typeface="Arial"/>
              <a:cs typeface="Arial"/>
            </a:rPr>
            <a:t>Working Load Limits and dimensional values (per the manufacturer) BEFORE USING this equipment.</a:t>
          </a:r>
        </a:p>
      </xdr:txBody>
    </xdr:sp>
    <xdr:clientData/>
  </xdr:twoCellAnchor>
  <mc:AlternateContent xmlns:mc="http://schemas.openxmlformats.org/markup-compatibility/2006">
    <mc:Choice xmlns:a14="http://schemas.microsoft.com/office/drawing/2010/main" Requires="a14">
      <xdr:twoCellAnchor editAs="oneCell">
        <xdr:from>
          <xdr:col>1</xdr:col>
          <xdr:colOff>28575</xdr:colOff>
          <xdr:row>18</xdr:row>
          <xdr:rowOff>0</xdr:rowOff>
        </xdr:from>
        <xdr:to>
          <xdr:col>4</xdr:col>
          <xdr:colOff>581025</xdr:colOff>
          <xdr:row>19</xdr:row>
          <xdr:rowOff>38100</xdr:rowOff>
        </xdr:to>
        <xdr:sp macro="" textlink="">
          <xdr:nvSpPr>
            <xdr:cNvPr id="68610" name="Drop Down 2" hidden="1">
              <a:extLst>
                <a:ext uri="{63B3BB69-23CF-44E3-9099-C40C66FF867C}">
                  <a14:compatExt spid="_x0000_s68610"/>
                </a:ext>
              </a:extLst>
            </xdr:cNvPr>
            <xdr:cNvSpPr/>
          </xdr:nvSpPr>
          <xdr:spPr>
            <a:xfrm>
              <a:off x="0" y="0"/>
              <a:ext cx="0" cy="0"/>
            </a:xfrm>
            <a:prstGeom prst="rect">
              <a:avLst/>
            </a:prstGeom>
          </xdr:spPr>
        </xdr:sp>
        <xdr:clientData fLocksWithSheet="0"/>
      </xdr:twoCellAnchor>
    </mc:Choice>
    <mc:Fallback/>
  </mc:AlternateContent>
</xdr:wsDr>
</file>

<file path=xl/drawings/drawing45.xml><?xml version="1.0" encoding="utf-8"?>
<xdr:wsDr xmlns:xdr="http://schemas.openxmlformats.org/drawingml/2006/spreadsheetDrawing" xmlns:a="http://schemas.openxmlformats.org/drawingml/2006/main">
  <xdr:twoCellAnchor editAs="oneCell">
    <xdr:from>
      <xdr:col>2</xdr:col>
      <xdr:colOff>28575</xdr:colOff>
      <xdr:row>2</xdr:row>
      <xdr:rowOff>76200</xdr:rowOff>
    </xdr:from>
    <xdr:to>
      <xdr:col>6</xdr:col>
      <xdr:colOff>304800</xdr:colOff>
      <xdr:row>12</xdr:row>
      <xdr:rowOff>142875</xdr:rowOff>
    </xdr:to>
    <xdr:pic>
      <xdr:nvPicPr>
        <xdr:cNvPr id="45126" name="Picture 7"/>
        <xdr:cNvPicPr>
          <a:picLocks noChangeAspect="1" noChangeArrowheads="1"/>
        </xdr:cNvPicPr>
      </xdr:nvPicPr>
      <xdr:blipFill>
        <a:blip xmlns:r="http://schemas.openxmlformats.org/officeDocument/2006/relationships" r:embed="rId1" cstate="print"/>
        <a:srcRect/>
        <a:stretch>
          <a:fillRect/>
        </a:stretch>
      </xdr:blipFill>
      <xdr:spPr bwMode="auto">
        <a:xfrm>
          <a:off x="1704975" y="457200"/>
          <a:ext cx="2714625" cy="1905000"/>
        </a:xfrm>
        <a:prstGeom prst="rect">
          <a:avLst/>
        </a:prstGeom>
        <a:noFill/>
        <a:ln w="9525">
          <a:noFill/>
          <a:miter lim="800000"/>
          <a:headEnd/>
          <a:tailEnd/>
        </a:ln>
      </xdr:spPr>
    </xdr:pic>
    <xdr:clientData/>
  </xdr:twoCellAnchor>
  <xdr:twoCellAnchor editAs="absolute">
    <xdr:from>
      <xdr:col>0</xdr:col>
      <xdr:colOff>66675</xdr:colOff>
      <xdr:row>0</xdr:row>
      <xdr:rowOff>66675</xdr:rowOff>
    </xdr:from>
    <xdr:to>
      <xdr:col>0</xdr:col>
      <xdr:colOff>962025</xdr:colOff>
      <xdr:row>1</xdr:row>
      <xdr:rowOff>123825</xdr:rowOff>
    </xdr:to>
    <xdr:pic>
      <xdr:nvPicPr>
        <xdr:cNvPr id="45127" name="Picture 16">
          <a:hlinkClick xmlns:r="http://schemas.openxmlformats.org/officeDocument/2006/relationships" r:id="rId2" tooltip="Return to Main Menu"/>
        </xdr:cNvPr>
        <xdr:cNvPicPr>
          <a:picLocks noChangeAspect="1" noChangeArrowheads="1"/>
        </xdr:cNvPicPr>
      </xdr:nvPicPr>
      <xdr:blipFill>
        <a:blip xmlns:r="http://schemas.openxmlformats.org/officeDocument/2006/relationships" r:embed="rId3" cstate="print"/>
        <a:srcRect/>
        <a:stretch>
          <a:fillRect/>
        </a:stretch>
      </xdr:blipFill>
      <xdr:spPr bwMode="auto">
        <a:xfrm>
          <a:off x="66675" y="66675"/>
          <a:ext cx="895350" cy="228600"/>
        </a:xfrm>
        <a:prstGeom prst="rect">
          <a:avLst/>
        </a:prstGeom>
        <a:noFill/>
        <a:ln w="9525">
          <a:noFill/>
          <a:miter lim="800000"/>
          <a:headEnd/>
          <a:tailEnd/>
        </a:ln>
      </xdr:spPr>
    </xdr:pic>
    <xdr:clientData fPrintsWithSheet="0"/>
  </xdr:twoCellAnchor>
  <xdr:twoCellAnchor editAs="absolute">
    <xdr:from>
      <xdr:col>0</xdr:col>
      <xdr:colOff>66675</xdr:colOff>
      <xdr:row>1</xdr:row>
      <xdr:rowOff>133350</xdr:rowOff>
    </xdr:from>
    <xdr:to>
      <xdr:col>0</xdr:col>
      <xdr:colOff>962025</xdr:colOff>
      <xdr:row>2</xdr:row>
      <xdr:rowOff>152400</xdr:rowOff>
    </xdr:to>
    <xdr:pic>
      <xdr:nvPicPr>
        <xdr:cNvPr id="45128" name="Picture 17">
          <a:hlinkClick xmlns:r="http://schemas.openxmlformats.org/officeDocument/2006/relationships" r:id="rId4" tooltip="Go To Master Index"/>
        </xdr:cNvPr>
        <xdr:cNvPicPr>
          <a:picLocks noChangeAspect="1" noChangeArrowheads="1"/>
        </xdr:cNvPicPr>
      </xdr:nvPicPr>
      <xdr:blipFill>
        <a:blip xmlns:r="http://schemas.openxmlformats.org/officeDocument/2006/relationships" r:embed="rId5" cstate="print"/>
        <a:srcRect/>
        <a:stretch>
          <a:fillRect/>
        </a:stretch>
      </xdr:blipFill>
      <xdr:spPr bwMode="auto">
        <a:xfrm>
          <a:off x="66675" y="304800"/>
          <a:ext cx="895350" cy="228600"/>
        </a:xfrm>
        <a:prstGeom prst="rect">
          <a:avLst/>
        </a:prstGeom>
        <a:noFill/>
        <a:ln w="9525">
          <a:noFill/>
          <a:miter lim="800000"/>
          <a:headEnd/>
          <a:tailEnd/>
        </a:ln>
      </xdr:spPr>
    </xdr:pic>
    <xdr:clientData fPrintsWithSheet="0"/>
  </xdr:twoCellAnchor>
  <xdr:twoCellAnchor editAs="absolute">
    <xdr:from>
      <xdr:col>0</xdr:col>
      <xdr:colOff>66675</xdr:colOff>
      <xdr:row>3</xdr:row>
      <xdr:rowOff>19050</xdr:rowOff>
    </xdr:from>
    <xdr:to>
      <xdr:col>0</xdr:col>
      <xdr:colOff>962025</xdr:colOff>
      <xdr:row>4</xdr:row>
      <xdr:rowOff>85725</xdr:rowOff>
    </xdr:to>
    <xdr:pic>
      <xdr:nvPicPr>
        <xdr:cNvPr id="45129" name="Picture 18">
          <a:hlinkClick xmlns:r="http://schemas.openxmlformats.org/officeDocument/2006/relationships" r:id="rId6" tooltip="Go To Weights Menu"/>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5" y="561975"/>
          <a:ext cx="895350" cy="228600"/>
        </a:xfrm>
        <a:prstGeom prst="rect">
          <a:avLst/>
        </a:prstGeom>
        <a:noFill/>
        <a:ln w="9525">
          <a:noFill/>
          <a:miter lim="800000"/>
          <a:headEnd/>
          <a:tailEnd/>
        </a:ln>
      </xdr:spPr>
    </xdr:pic>
    <xdr:clientData fPrintsWithSheet="0"/>
  </xdr:twoCellAnchor>
  <xdr:twoCellAnchor editAs="absolute">
    <xdr:from>
      <xdr:col>0</xdr:col>
      <xdr:colOff>66675</xdr:colOff>
      <xdr:row>4</xdr:row>
      <xdr:rowOff>85725</xdr:rowOff>
    </xdr:from>
    <xdr:to>
      <xdr:col>0</xdr:col>
      <xdr:colOff>962025</xdr:colOff>
      <xdr:row>5</xdr:row>
      <xdr:rowOff>104775</xdr:rowOff>
    </xdr:to>
    <xdr:pic>
      <xdr:nvPicPr>
        <xdr:cNvPr id="45130" name="Picture 19">
          <a:hlinkClick xmlns:r="http://schemas.openxmlformats.org/officeDocument/2006/relationships" r:id="rId8" tooltip="Go To Tension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790575"/>
          <a:ext cx="895350" cy="228600"/>
        </a:xfrm>
        <a:prstGeom prst="rect">
          <a:avLst/>
        </a:prstGeom>
        <a:noFill/>
        <a:ln w="9525">
          <a:noFill/>
          <a:miter lim="800000"/>
          <a:headEnd/>
          <a:tailEnd/>
        </a:ln>
      </xdr:spPr>
    </xdr:pic>
    <xdr:clientData fPrintsWithSheet="0"/>
  </xdr:twoCellAnchor>
  <xdr:twoCellAnchor editAs="absolute">
    <xdr:from>
      <xdr:col>0</xdr:col>
      <xdr:colOff>66675</xdr:colOff>
      <xdr:row>5</xdr:row>
      <xdr:rowOff>104775</xdr:rowOff>
    </xdr:from>
    <xdr:to>
      <xdr:col>0</xdr:col>
      <xdr:colOff>962025</xdr:colOff>
      <xdr:row>6</xdr:row>
      <xdr:rowOff>161925</xdr:rowOff>
    </xdr:to>
    <xdr:pic>
      <xdr:nvPicPr>
        <xdr:cNvPr id="45131" name="Picture 20">
          <a:hlinkClick xmlns:r="http://schemas.openxmlformats.org/officeDocument/2006/relationships" r:id="rId10" tooltip="Go To Equipment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1019175"/>
          <a:ext cx="895350" cy="228600"/>
        </a:xfrm>
        <a:prstGeom prst="rect">
          <a:avLst/>
        </a:prstGeom>
        <a:noFill/>
        <a:ln w="9525">
          <a:noFill/>
          <a:miter lim="800000"/>
          <a:headEnd/>
          <a:tailEnd/>
        </a:ln>
      </xdr:spPr>
    </xdr:pic>
    <xdr:clientData fPrintsWithSheet="0"/>
  </xdr:twoCellAnchor>
  <xdr:twoCellAnchor editAs="absolute">
    <xdr:from>
      <xdr:col>0</xdr:col>
      <xdr:colOff>114300</xdr:colOff>
      <xdr:row>6</xdr:row>
      <xdr:rowOff>200025</xdr:rowOff>
    </xdr:from>
    <xdr:to>
      <xdr:col>0</xdr:col>
      <xdr:colOff>342900</xdr:colOff>
      <xdr:row>8</xdr:row>
      <xdr:rowOff>47625</xdr:rowOff>
    </xdr:to>
    <xdr:pic>
      <xdr:nvPicPr>
        <xdr:cNvPr id="45132" name="Picture 21" descr="Code Information">
          <a:hlinkClick xmlns:r="http://schemas.openxmlformats.org/officeDocument/2006/relationships" r:id="rId12" tooltip="Code Information"/>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14300" y="1285875"/>
          <a:ext cx="228600" cy="228600"/>
        </a:xfrm>
        <a:prstGeom prst="rect">
          <a:avLst/>
        </a:prstGeom>
        <a:noFill/>
        <a:ln w="9525">
          <a:noFill/>
          <a:miter lim="800000"/>
          <a:headEnd/>
          <a:tailEnd/>
        </a:ln>
      </xdr:spPr>
    </xdr:pic>
    <xdr:clientData fPrintsWithSheet="0"/>
  </xdr:twoCellAnchor>
  <xdr:twoCellAnchor editAs="absolute">
    <xdr:from>
      <xdr:col>0</xdr:col>
      <xdr:colOff>371475</xdr:colOff>
      <xdr:row>6</xdr:row>
      <xdr:rowOff>200025</xdr:rowOff>
    </xdr:from>
    <xdr:to>
      <xdr:col>0</xdr:col>
      <xdr:colOff>600075</xdr:colOff>
      <xdr:row>8</xdr:row>
      <xdr:rowOff>47625</xdr:rowOff>
    </xdr:to>
    <xdr:pic>
      <xdr:nvPicPr>
        <xdr:cNvPr id="45133" name="Picture 22" descr="help">
          <a:hlinkClick xmlns:r="http://schemas.openxmlformats.org/officeDocument/2006/relationships" r:id="rId14" tooltip="Help"/>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71475" y="1285875"/>
          <a:ext cx="228600" cy="228600"/>
        </a:xfrm>
        <a:prstGeom prst="rect">
          <a:avLst/>
        </a:prstGeom>
        <a:noFill/>
        <a:ln w="9525">
          <a:noFill/>
          <a:miter lim="800000"/>
          <a:headEnd/>
          <a:tailEnd/>
        </a:ln>
      </xdr:spPr>
    </xdr:pic>
    <xdr:clientData fPrintsWithSheet="0"/>
  </xdr:twoCellAnchor>
  <xdr:twoCellAnchor editAs="absolute">
    <xdr:from>
      <xdr:col>0</xdr:col>
      <xdr:colOff>638175</xdr:colOff>
      <xdr:row>6</xdr:row>
      <xdr:rowOff>200025</xdr:rowOff>
    </xdr:from>
    <xdr:to>
      <xdr:col>0</xdr:col>
      <xdr:colOff>866775</xdr:colOff>
      <xdr:row>8</xdr:row>
      <xdr:rowOff>47625</xdr:rowOff>
    </xdr:to>
    <xdr:pic>
      <xdr:nvPicPr>
        <xdr:cNvPr id="45134" name="Picture 23" descr="star">
          <a:hlinkClick xmlns:r="http://schemas.openxmlformats.org/officeDocument/2006/relationships" r:id="rId16" tooltip="Conversions"/>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38175" y="1285875"/>
          <a:ext cx="228600" cy="228600"/>
        </a:xfrm>
        <a:prstGeom prst="rect">
          <a:avLst/>
        </a:prstGeom>
        <a:noFill/>
        <a:ln w="9525">
          <a:noFill/>
          <a:miter lim="800000"/>
          <a:headEnd/>
          <a:tailEnd/>
        </a:ln>
      </xdr:spPr>
    </xdr:pic>
    <xdr:clientData fPrintsWithSheet="0"/>
  </xdr:twoCellAnchor>
  <xdr:twoCellAnchor>
    <xdr:from>
      <xdr:col>3</xdr:col>
      <xdr:colOff>361950</xdr:colOff>
      <xdr:row>21</xdr:row>
      <xdr:rowOff>38100</xdr:rowOff>
    </xdr:from>
    <xdr:to>
      <xdr:col>7</xdr:col>
      <xdr:colOff>742950</xdr:colOff>
      <xdr:row>26</xdr:row>
      <xdr:rowOff>28575</xdr:rowOff>
    </xdr:to>
    <xdr:sp macro="" textlink="">
      <xdr:nvSpPr>
        <xdr:cNvPr id="45080" name="Text Box 24"/>
        <xdr:cNvSpPr txBox="1">
          <a:spLocks noChangeArrowheads="1"/>
        </xdr:cNvSpPr>
      </xdr:nvSpPr>
      <xdr:spPr bwMode="auto">
        <a:xfrm>
          <a:off x="2647950" y="3971925"/>
          <a:ext cx="2819400" cy="8001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FF"/>
              </a:solidFill>
              <a:latin typeface="Arial"/>
              <a:cs typeface="Arial"/>
            </a:rPr>
            <a:t>These are representative values only!</a:t>
          </a:r>
          <a:endParaRPr lang="en-GB" sz="900" b="1" i="0" u="none" strike="noStrike" baseline="0">
            <a:solidFill>
              <a:srgbClr val="000000"/>
            </a:solidFill>
            <a:latin typeface="Arial"/>
            <a:cs typeface="Arial"/>
          </a:endParaRPr>
        </a:p>
        <a:p>
          <a:pPr algn="ctr" rtl="0">
            <a:defRPr sz="1000"/>
          </a:pPr>
          <a:endParaRPr lang="en-GB" sz="900" b="1" i="0" u="none" strike="noStrike" baseline="0">
            <a:solidFill>
              <a:srgbClr val="000000"/>
            </a:solidFill>
            <a:latin typeface="Arial"/>
            <a:cs typeface="Arial"/>
          </a:endParaRPr>
        </a:p>
        <a:p>
          <a:pPr algn="ctr" rtl="0">
            <a:defRPr sz="1000"/>
          </a:pPr>
          <a:r>
            <a:rPr lang="en-GB" sz="900" b="1" i="0" u="none" strike="noStrike" baseline="0">
              <a:solidFill>
                <a:srgbClr val="FF0000"/>
              </a:solidFill>
              <a:latin typeface="Arial"/>
              <a:cs typeface="Arial"/>
            </a:rPr>
            <a:t>ALWAYS  verify the actual</a:t>
          </a:r>
        </a:p>
        <a:p>
          <a:pPr algn="ctr" rtl="0">
            <a:defRPr sz="1000"/>
          </a:pPr>
          <a:r>
            <a:rPr lang="en-GB" sz="900" b="1" i="0" u="none" strike="noStrike" baseline="0">
              <a:solidFill>
                <a:srgbClr val="FF0000"/>
              </a:solidFill>
              <a:latin typeface="Arial"/>
              <a:cs typeface="Arial"/>
            </a:rPr>
            <a:t>Working Load Limits and dimensional values (per the manufacturer) BEFORE USING this equipment.</a:t>
          </a:r>
        </a:p>
      </xdr:txBody>
    </xdr:sp>
    <xdr:clientData/>
  </xdr:twoCellAnchor>
  <xdr:twoCellAnchor>
    <xdr:from>
      <xdr:col>7</xdr:col>
      <xdr:colOff>38100</xdr:colOff>
      <xdr:row>1</xdr:row>
      <xdr:rowOff>28575</xdr:rowOff>
    </xdr:from>
    <xdr:to>
      <xdr:col>10</xdr:col>
      <xdr:colOff>76200</xdr:colOff>
      <xdr:row>6</xdr:row>
      <xdr:rowOff>161925</xdr:rowOff>
    </xdr:to>
    <xdr:sp macro="" textlink="">
      <xdr:nvSpPr>
        <xdr:cNvPr id="45081" name="Text 8"/>
        <xdr:cNvSpPr>
          <a:spLocks noChangeArrowheads="1"/>
        </xdr:cNvSpPr>
      </xdr:nvSpPr>
      <xdr:spPr bwMode="auto">
        <a:xfrm>
          <a:off x="4762500" y="200025"/>
          <a:ext cx="2209800" cy="104775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en-GB" sz="1000" b="1" i="0" u="none" strike="noStrike" baseline="0">
              <a:solidFill>
                <a:srgbClr val="000000"/>
              </a:solidFill>
              <a:latin typeface="Arial"/>
              <a:cs typeface="Arial"/>
            </a:rPr>
            <a:t>NOTE:</a:t>
          </a:r>
          <a:r>
            <a:rPr lang="en-GB" sz="1000" b="0" i="0" u="none" strike="noStrike" baseline="0">
              <a:solidFill>
                <a:srgbClr val="000000"/>
              </a:solidFill>
              <a:latin typeface="Arial"/>
              <a:cs typeface="Arial"/>
            </a:rPr>
            <a:t> </a:t>
          </a:r>
          <a:r>
            <a:rPr lang="en-GB" sz="1000" b="1" i="0" u="none" strike="noStrike" baseline="0">
              <a:solidFill>
                <a:srgbClr val="000000"/>
              </a:solidFill>
              <a:latin typeface="Arial"/>
              <a:cs typeface="Arial"/>
            </a:rPr>
            <a:t>Shackles are rated for </a:t>
          </a:r>
        </a:p>
        <a:p>
          <a:pPr algn="ctr" rtl="0">
            <a:defRPr sz="1000"/>
          </a:pPr>
          <a:r>
            <a:rPr lang="en-GB" sz="1000" b="1" i="0" u="none" strike="noStrike" baseline="0">
              <a:solidFill>
                <a:srgbClr val="000000"/>
              </a:solidFill>
              <a:latin typeface="Arial"/>
              <a:cs typeface="Arial"/>
            </a:rPr>
            <a:t>in-line loading.  Consult the manufacturer or ASME B30.26 when side loading shackles.</a:t>
          </a:r>
        </a:p>
      </xdr:txBody>
    </xdr:sp>
    <xdr:clientData/>
  </xdr:twoCellAnchor>
  <mc:AlternateContent xmlns:mc="http://schemas.openxmlformats.org/markup-compatibility/2006">
    <mc:Choice xmlns:a14="http://schemas.microsoft.com/office/drawing/2010/main" Requires="a14">
      <xdr:twoCellAnchor editAs="oneCell">
        <xdr:from>
          <xdr:col>2</xdr:col>
          <xdr:colOff>114300</xdr:colOff>
          <xdr:row>17</xdr:row>
          <xdr:rowOff>142875</xdr:rowOff>
        </xdr:from>
        <xdr:to>
          <xdr:col>6</xdr:col>
          <xdr:colOff>123825</xdr:colOff>
          <xdr:row>19</xdr:row>
          <xdr:rowOff>19050</xdr:rowOff>
        </xdr:to>
        <xdr:sp macro="" textlink="">
          <xdr:nvSpPr>
            <xdr:cNvPr id="45061" name="Drop Down 5" hidden="1">
              <a:extLst>
                <a:ext uri="{63B3BB69-23CF-44E3-9099-C40C66FF867C}">
                  <a14:compatExt spid="_x0000_s45061"/>
                </a:ext>
              </a:extLst>
            </xdr:cNvPr>
            <xdr:cNvSpPr/>
          </xdr:nvSpPr>
          <xdr:spPr>
            <a:xfrm>
              <a:off x="0" y="0"/>
              <a:ext cx="0" cy="0"/>
            </a:xfrm>
            <a:prstGeom prst="rect">
              <a:avLst/>
            </a:prstGeom>
          </xdr:spPr>
        </xdr:sp>
        <xdr:clientData fLocksWithSheet="0"/>
      </xdr:twoCellAnchor>
    </mc:Choice>
    <mc:Fallback/>
  </mc:AlternateContent>
</xdr:wsDr>
</file>

<file path=xl/drawings/drawing46.xml><?xml version="1.0" encoding="utf-8"?>
<xdr:wsDr xmlns:xdr="http://schemas.openxmlformats.org/drawingml/2006/spreadsheetDrawing" xmlns:a="http://schemas.openxmlformats.org/drawingml/2006/main">
  <xdr:twoCellAnchor editAs="oneCell">
    <xdr:from>
      <xdr:col>28</xdr:col>
      <xdr:colOff>200025</xdr:colOff>
      <xdr:row>3</xdr:row>
      <xdr:rowOff>66675</xdr:rowOff>
    </xdr:from>
    <xdr:to>
      <xdr:col>30</xdr:col>
      <xdr:colOff>409575</xdr:colOff>
      <xdr:row>19</xdr:row>
      <xdr:rowOff>114300</xdr:rowOff>
    </xdr:to>
    <xdr:pic>
      <xdr:nvPicPr>
        <xdr:cNvPr id="4304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3517225" y="495300"/>
          <a:ext cx="1428750" cy="2638425"/>
        </a:xfrm>
        <a:prstGeom prst="rect">
          <a:avLst/>
        </a:prstGeom>
        <a:noFill/>
        <a:ln w="1">
          <a:noFill/>
          <a:miter lim="800000"/>
          <a:headEnd/>
          <a:tailEnd/>
        </a:ln>
      </xdr:spPr>
    </xdr:pic>
    <xdr:clientData/>
  </xdr:twoCellAnchor>
  <xdr:twoCellAnchor editAs="oneCell">
    <xdr:from>
      <xdr:col>28</xdr:col>
      <xdr:colOff>66675</xdr:colOff>
      <xdr:row>85</xdr:row>
      <xdr:rowOff>19050</xdr:rowOff>
    </xdr:from>
    <xdr:to>
      <xdr:col>30</xdr:col>
      <xdr:colOff>314325</xdr:colOff>
      <xdr:row>103</xdr:row>
      <xdr:rowOff>142875</xdr:rowOff>
    </xdr:to>
    <xdr:pic>
      <xdr:nvPicPr>
        <xdr:cNvPr id="43045"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23383875" y="13725525"/>
          <a:ext cx="1466850" cy="3038475"/>
        </a:xfrm>
        <a:prstGeom prst="rect">
          <a:avLst/>
        </a:prstGeom>
        <a:noFill/>
        <a:ln w="1">
          <a:noFill/>
          <a:miter lim="800000"/>
          <a:headEnd/>
          <a:tailEnd/>
        </a:ln>
      </xdr:spPr>
    </xdr:pic>
    <xdr:clientData/>
  </xdr:twoCellAnchor>
  <xdr:twoCellAnchor editAs="oneCell">
    <xdr:from>
      <xdr:col>27</xdr:col>
      <xdr:colOff>190500</xdr:colOff>
      <xdr:row>39</xdr:row>
      <xdr:rowOff>76200</xdr:rowOff>
    </xdr:from>
    <xdr:to>
      <xdr:col>30</xdr:col>
      <xdr:colOff>266700</xdr:colOff>
      <xdr:row>58</xdr:row>
      <xdr:rowOff>38100</xdr:rowOff>
    </xdr:to>
    <xdr:pic>
      <xdr:nvPicPr>
        <xdr:cNvPr id="43046"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22898100" y="6334125"/>
          <a:ext cx="1905000" cy="3038475"/>
        </a:xfrm>
        <a:prstGeom prst="rect">
          <a:avLst/>
        </a:prstGeom>
        <a:noFill/>
        <a:ln w="1">
          <a:noFill/>
          <a:miter lim="800000"/>
          <a:headEnd/>
          <a:tailEnd/>
        </a:ln>
      </xdr:spPr>
    </xdr:pic>
    <xdr:clientData/>
  </xdr:twoCellAnchor>
  <xdr:twoCellAnchor editAs="oneCell">
    <xdr:from>
      <xdr:col>27</xdr:col>
      <xdr:colOff>19050</xdr:colOff>
      <xdr:row>48</xdr:row>
      <xdr:rowOff>19050</xdr:rowOff>
    </xdr:from>
    <xdr:to>
      <xdr:col>29</xdr:col>
      <xdr:colOff>266700</xdr:colOff>
      <xdr:row>62</xdr:row>
      <xdr:rowOff>85725</xdr:rowOff>
    </xdr:to>
    <xdr:pic>
      <xdr:nvPicPr>
        <xdr:cNvPr id="43047"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22726650" y="7734300"/>
          <a:ext cx="1466850" cy="2333625"/>
        </a:xfrm>
        <a:prstGeom prst="rect">
          <a:avLst/>
        </a:prstGeom>
        <a:noFill/>
        <a:ln w="1">
          <a:noFill/>
          <a:miter lim="800000"/>
          <a:headEnd/>
          <a:tailEnd/>
        </a:ln>
      </xdr:spPr>
    </xdr:pic>
    <xdr:clientData/>
  </xdr:twoCellAnchor>
  <xdr:twoCellAnchor editAs="oneCell">
    <xdr:from>
      <xdr:col>27</xdr:col>
      <xdr:colOff>428625</xdr:colOff>
      <xdr:row>64</xdr:row>
      <xdr:rowOff>95250</xdr:rowOff>
    </xdr:from>
    <xdr:to>
      <xdr:col>30</xdr:col>
      <xdr:colOff>352425</xdr:colOff>
      <xdr:row>74</xdr:row>
      <xdr:rowOff>0</xdr:rowOff>
    </xdr:to>
    <xdr:pic>
      <xdr:nvPicPr>
        <xdr:cNvPr id="43048"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23136225" y="10401300"/>
          <a:ext cx="1752600" cy="1524000"/>
        </a:xfrm>
        <a:prstGeom prst="rect">
          <a:avLst/>
        </a:prstGeom>
        <a:noFill/>
        <a:ln w="1">
          <a:noFill/>
          <a:miter lim="800000"/>
          <a:headEnd/>
          <a:tailEnd/>
        </a:ln>
      </xdr:spPr>
    </xdr:pic>
    <xdr:clientData/>
  </xdr:twoCellAnchor>
  <xdr:twoCellAnchor editAs="oneCell">
    <xdr:from>
      <xdr:col>27</xdr:col>
      <xdr:colOff>38100</xdr:colOff>
      <xdr:row>23</xdr:row>
      <xdr:rowOff>19050</xdr:rowOff>
    </xdr:from>
    <xdr:to>
      <xdr:col>29</xdr:col>
      <xdr:colOff>200025</xdr:colOff>
      <xdr:row>38</xdr:row>
      <xdr:rowOff>38100</xdr:rowOff>
    </xdr:to>
    <xdr:pic>
      <xdr:nvPicPr>
        <xdr:cNvPr id="43049"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22745700" y="3686175"/>
          <a:ext cx="1381125" cy="2447925"/>
        </a:xfrm>
        <a:prstGeom prst="rect">
          <a:avLst/>
        </a:prstGeom>
        <a:noFill/>
        <a:ln w="1">
          <a:noFill/>
          <a:miter lim="800000"/>
          <a:headEnd/>
          <a:tailEnd/>
        </a:ln>
      </xdr:spPr>
    </xdr:pic>
    <xdr:clientData/>
  </xdr:twoCellAnchor>
  <xdr:twoCellAnchor editAs="oneCell">
    <xdr:from>
      <xdr:col>30</xdr:col>
      <xdr:colOff>38100</xdr:colOff>
      <xdr:row>23</xdr:row>
      <xdr:rowOff>9525</xdr:rowOff>
    </xdr:from>
    <xdr:to>
      <xdr:col>32</xdr:col>
      <xdr:colOff>209550</xdr:colOff>
      <xdr:row>34</xdr:row>
      <xdr:rowOff>114300</xdr:rowOff>
    </xdr:to>
    <xdr:pic>
      <xdr:nvPicPr>
        <xdr:cNvPr id="43050"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24574500" y="3676650"/>
          <a:ext cx="1390650" cy="1885950"/>
        </a:xfrm>
        <a:prstGeom prst="rect">
          <a:avLst/>
        </a:prstGeom>
        <a:noFill/>
        <a:ln w="1">
          <a:noFill/>
          <a:miter lim="800000"/>
          <a:headEnd/>
          <a:tailEnd/>
        </a:ln>
      </xdr:spPr>
    </xdr:pic>
    <xdr:clientData/>
  </xdr:twoCellAnchor>
</xdr:wsDr>
</file>

<file path=xl/drawings/drawing47.xml><?xml version="1.0" encoding="utf-8"?>
<xdr:wsDr xmlns:xdr="http://schemas.openxmlformats.org/drawingml/2006/spreadsheetDrawing" xmlns:a="http://schemas.openxmlformats.org/drawingml/2006/main">
  <xdr:twoCellAnchor editAs="absolute">
    <xdr:from>
      <xdr:col>1</xdr:col>
      <xdr:colOff>47625</xdr:colOff>
      <xdr:row>67</xdr:row>
      <xdr:rowOff>9525</xdr:rowOff>
    </xdr:from>
    <xdr:to>
      <xdr:col>2</xdr:col>
      <xdr:colOff>219075</xdr:colOff>
      <xdr:row>68</xdr:row>
      <xdr:rowOff>76200</xdr:rowOff>
    </xdr:to>
    <xdr:pic>
      <xdr:nvPicPr>
        <xdr:cNvPr id="71706" name="Picture 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47650" y="10858500"/>
          <a:ext cx="781050" cy="228600"/>
        </a:xfrm>
        <a:prstGeom prst="rect">
          <a:avLst/>
        </a:prstGeom>
        <a:noFill/>
        <a:ln w="9525">
          <a:noFill/>
          <a:miter lim="800000"/>
          <a:headEnd/>
          <a:tailEnd/>
        </a:ln>
      </xdr:spPr>
    </xdr:pic>
    <xdr:clientData fPrintsWithSheet="0"/>
  </xdr:twoCellAnchor>
  <xdr:twoCellAnchor editAs="absolute">
    <xdr:from>
      <xdr:col>1</xdr:col>
      <xdr:colOff>47625</xdr:colOff>
      <xdr:row>68</xdr:row>
      <xdr:rowOff>85725</xdr:rowOff>
    </xdr:from>
    <xdr:to>
      <xdr:col>2</xdr:col>
      <xdr:colOff>219075</xdr:colOff>
      <xdr:row>69</xdr:row>
      <xdr:rowOff>152400</xdr:rowOff>
    </xdr:to>
    <xdr:pic>
      <xdr:nvPicPr>
        <xdr:cNvPr id="71707"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247650" y="11096625"/>
          <a:ext cx="781050" cy="228600"/>
        </a:xfrm>
        <a:prstGeom prst="rect">
          <a:avLst/>
        </a:prstGeom>
        <a:noFill/>
        <a:ln w="9525">
          <a:noFill/>
          <a:miter lim="800000"/>
          <a:headEnd/>
          <a:tailEnd/>
        </a:ln>
      </xdr:spPr>
    </xdr:pic>
    <xdr:clientData fPrintsWithSheet="0"/>
  </xdr:twoCellAnchor>
  <xdr:twoCellAnchor editAs="absolute">
    <xdr:from>
      <xdr:col>1</xdr:col>
      <xdr:colOff>57150</xdr:colOff>
      <xdr:row>70</xdr:row>
      <xdr:rowOff>57150</xdr:rowOff>
    </xdr:from>
    <xdr:to>
      <xdr:col>2</xdr:col>
      <xdr:colOff>228600</xdr:colOff>
      <xdr:row>71</xdr:row>
      <xdr:rowOff>123825</xdr:rowOff>
    </xdr:to>
    <xdr:pic>
      <xdr:nvPicPr>
        <xdr:cNvPr id="71708" name="Picture 3">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257175" y="11391900"/>
          <a:ext cx="781050" cy="228600"/>
        </a:xfrm>
        <a:prstGeom prst="rect">
          <a:avLst/>
        </a:prstGeom>
        <a:noFill/>
        <a:ln w="9525">
          <a:noFill/>
          <a:miter lim="800000"/>
          <a:headEnd/>
          <a:tailEnd/>
        </a:ln>
      </xdr:spPr>
    </xdr:pic>
    <xdr:clientData fPrintsWithSheet="0"/>
  </xdr:twoCellAnchor>
  <xdr:twoCellAnchor editAs="absolute">
    <xdr:from>
      <xdr:col>1</xdr:col>
      <xdr:colOff>47625</xdr:colOff>
      <xdr:row>71</xdr:row>
      <xdr:rowOff>123825</xdr:rowOff>
    </xdr:from>
    <xdr:to>
      <xdr:col>2</xdr:col>
      <xdr:colOff>219075</xdr:colOff>
      <xdr:row>73</xdr:row>
      <xdr:rowOff>28575</xdr:rowOff>
    </xdr:to>
    <xdr:pic>
      <xdr:nvPicPr>
        <xdr:cNvPr id="71709" name="Picture 4">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247650" y="11620500"/>
          <a:ext cx="781050" cy="228600"/>
        </a:xfrm>
        <a:prstGeom prst="rect">
          <a:avLst/>
        </a:prstGeom>
        <a:noFill/>
        <a:ln w="9525">
          <a:noFill/>
          <a:miter lim="800000"/>
          <a:headEnd/>
          <a:tailEnd/>
        </a:ln>
      </xdr:spPr>
    </xdr:pic>
    <xdr:clientData fPrintsWithSheet="0"/>
  </xdr:twoCellAnchor>
  <xdr:twoCellAnchor editAs="absolute">
    <xdr:from>
      <xdr:col>1</xdr:col>
      <xdr:colOff>47625</xdr:colOff>
      <xdr:row>73</xdr:row>
      <xdr:rowOff>19050</xdr:rowOff>
    </xdr:from>
    <xdr:to>
      <xdr:col>2</xdr:col>
      <xdr:colOff>219075</xdr:colOff>
      <xdr:row>74</xdr:row>
      <xdr:rowOff>85725</xdr:rowOff>
    </xdr:to>
    <xdr:pic>
      <xdr:nvPicPr>
        <xdr:cNvPr id="71710" name="Picture 5">
          <a:hlinkClick xmlns:r="http://schemas.openxmlformats.org/officeDocument/2006/relationships" r:id="rId9"/>
        </xdr:cNvPr>
        <xdr:cNvPicPr>
          <a:picLocks noChangeAspect="1" noChangeArrowheads="1"/>
        </xdr:cNvPicPr>
      </xdr:nvPicPr>
      <xdr:blipFill>
        <a:blip xmlns:r="http://schemas.openxmlformats.org/officeDocument/2006/relationships" r:embed="rId10" cstate="print"/>
        <a:srcRect/>
        <a:stretch>
          <a:fillRect/>
        </a:stretch>
      </xdr:blipFill>
      <xdr:spPr bwMode="auto">
        <a:xfrm>
          <a:off x="247650" y="11839575"/>
          <a:ext cx="781050" cy="228600"/>
        </a:xfrm>
        <a:prstGeom prst="rect">
          <a:avLst/>
        </a:prstGeom>
        <a:noFill/>
        <a:ln w="9525">
          <a:noFill/>
          <a:miter lim="800000"/>
          <a:headEnd/>
          <a:tailEnd/>
        </a:ln>
      </xdr:spPr>
    </xdr:pic>
    <xdr:clientData fPrintsWithSheet="0"/>
  </xdr:twoCellAnchor>
</xdr:wsDr>
</file>

<file path=xl/drawings/drawing48.xml><?xml version="1.0" encoding="utf-8"?>
<xdr:wsDr xmlns:xdr="http://schemas.openxmlformats.org/drawingml/2006/spreadsheetDrawing" xmlns:a="http://schemas.openxmlformats.org/drawingml/2006/main">
  <xdr:twoCellAnchor editAs="absolute">
    <xdr:from>
      <xdr:col>2</xdr:col>
      <xdr:colOff>66675</xdr:colOff>
      <xdr:row>117</xdr:row>
      <xdr:rowOff>0</xdr:rowOff>
    </xdr:from>
    <xdr:to>
      <xdr:col>2</xdr:col>
      <xdr:colOff>847725</xdr:colOff>
      <xdr:row>118</xdr:row>
      <xdr:rowOff>66675</xdr:rowOff>
    </xdr:to>
    <xdr:pic>
      <xdr:nvPicPr>
        <xdr:cNvPr id="72730" name="Picture 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81125" y="19040475"/>
          <a:ext cx="781050" cy="228600"/>
        </a:xfrm>
        <a:prstGeom prst="rect">
          <a:avLst/>
        </a:prstGeom>
        <a:noFill/>
        <a:ln w="9525">
          <a:noFill/>
          <a:miter lim="800000"/>
          <a:headEnd/>
          <a:tailEnd/>
        </a:ln>
      </xdr:spPr>
    </xdr:pic>
    <xdr:clientData fPrintsWithSheet="0"/>
  </xdr:twoCellAnchor>
  <xdr:twoCellAnchor editAs="absolute">
    <xdr:from>
      <xdr:col>2</xdr:col>
      <xdr:colOff>66675</xdr:colOff>
      <xdr:row>118</xdr:row>
      <xdr:rowOff>76200</xdr:rowOff>
    </xdr:from>
    <xdr:to>
      <xdr:col>2</xdr:col>
      <xdr:colOff>847725</xdr:colOff>
      <xdr:row>119</xdr:row>
      <xdr:rowOff>142875</xdr:rowOff>
    </xdr:to>
    <xdr:pic>
      <xdr:nvPicPr>
        <xdr:cNvPr id="72731"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1381125" y="19278600"/>
          <a:ext cx="781050" cy="228600"/>
        </a:xfrm>
        <a:prstGeom prst="rect">
          <a:avLst/>
        </a:prstGeom>
        <a:noFill/>
        <a:ln w="9525">
          <a:noFill/>
          <a:miter lim="800000"/>
          <a:headEnd/>
          <a:tailEnd/>
        </a:ln>
      </xdr:spPr>
    </xdr:pic>
    <xdr:clientData fPrintsWithSheet="0"/>
  </xdr:twoCellAnchor>
  <xdr:twoCellAnchor editAs="absolute">
    <xdr:from>
      <xdr:col>2</xdr:col>
      <xdr:colOff>904875</xdr:colOff>
      <xdr:row>117</xdr:row>
      <xdr:rowOff>19050</xdr:rowOff>
    </xdr:from>
    <xdr:to>
      <xdr:col>2</xdr:col>
      <xdr:colOff>1685925</xdr:colOff>
      <xdr:row>118</xdr:row>
      <xdr:rowOff>85725</xdr:rowOff>
    </xdr:to>
    <xdr:pic>
      <xdr:nvPicPr>
        <xdr:cNvPr id="72732" name="Picture 3">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2219325" y="19059525"/>
          <a:ext cx="781050" cy="228600"/>
        </a:xfrm>
        <a:prstGeom prst="rect">
          <a:avLst/>
        </a:prstGeom>
        <a:noFill/>
        <a:ln w="9525">
          <a:noFill/>
          <a:miter lim="800000"/>
          <a:headEnd/>
          <a:tailEnd/>
        </a:ln>
      </xdr:spPr>
    </xdr:pic>
    <xdr:clientData fPrintsWithSheet="0"/>
  </xdr:twoCellAnchor>
  <xdr:twoCellAnchor editAs="absolute">
    <xdr:from>
      <xdr:col>2</xdr:col>
      <xdr:colOff>895350</xdr:colOff>
      <xdr:row>118</xdr:row>
      <xdr:rowOff>85725</xdr:rowOff>
    </xdr:from>
    <xdr:to>
      <xdr:col>2</xdr:col>
      <xdr:colOff>1676400</xdr:colOff>
      <xdr:row>119</xdr:row>
      <xdr:rowOff>152400</xdr:rowOff>
    </xdr:to>
    <xdr:pic>
      <xdr:nvPicPr>
        <xdr:cNvPr id="72733" name="Picture 4">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2209800" y="19288125"/>
          <a:ext cx="781050" cy="228600"/>
        </a:xfrm>
        <a:prstGeom prst="rect">
          <a:avLst/>
        </a:prstGeom>
        <a:noFill/>
        <a:ln w="9525">
          <a:noFill/>
          <a:miter lim="800000"/>
          <a:headEnd/>
          <a:tailEnd/>
        </a:ln>
      </xdr:spPr>
    </xdr:pic>
    <xdr:clientData fPrintsWithSheet="0"/>
  </xdr:twoCellAnchor>
  <xdr:twoCellAnchor editAs="absolute">
    <xdr:from>
      <xdr:col>2</xdr:col>
      <xdr:colOff>1733550</xdr:colOff>
      <xdr:row>117</xdr:row>
      <xdr:rowOff>123825</xdr:rowOff>
    </xdr:from>
    <xdr:to>
      <xdr:col>3</xdr:col>
      <xdr:colOff>57150</xdr:colOff>
      <xdr:row>119</xdr:row>
      <xdr:rowOff>28575</xdr:rowOff>
    </xdr:to>
    <xdr:pic>
      <xdr:nvPicPr>
        <xdr:cNvPr id="72734" name="Picture 5">
          <a:hlinkClick xmlns:r="http://schemas.openxmlformats.org/officeDocument/2006/relationships" r:id="rId9"/>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48000" y="19164300"/>
          <a:ext cx="781050" cy="228600"/>
        </a:xfrm>
        <a:prstGeom prst="rect">
          <a:avLst/>
        </a:prstGeom>
        <a:noFill/>
        <a:ln w="9525">
          <a:noFill/>
          <a:miter lim="800000"/>
          <a:headEnd/>
          <a:tailEnd/>
        </a:ln>
      </xdr:spPr>
    </xdr:pic>
    <xdr:clientData fPrintsWithSheet="0"/>
  </xdr:twoCellAnchor>
</xdr:wsDr>
</file>

<file path=xl/drawings/drawing49.xml><?xml version="1.0" encoding="utf-8"?>
<xdr:wsDr xmlns:xdr="http://schemas.openxmlformats.org/drawingml/2006/spreadsheetDrawing" xmlns:a="http://schemas.openxmlformats.org/drawingml/2006/main">
  <xdr:twoCellAnchor>
    <xdr:from>
      <xdr:col>6</xdr:col>
      <xdr:colOff>123825</xdr:colOff>
      <xdr:row>18</xdr:row>
      <xdr:rowOff>123825</xdr:rowOff>
    </xdr:from>
    <xdr:to>
      <xdr:col>11</xdr:col>
      <xdr:colOff>66675</xdr:colOff>
      <xdr:row>27</xdr:row>
      <xdr:rowOff>161925</xdr:rowOff>
    </xdr:to>
    <xdr:sp macro="" textlink="">
      <xdr:nvSpPr>
        <xdr:cNvPr id="2049" name="Text 1"/>
        <xdr:cNvSpPr>
          <a:spLocks noChangeArrowheads="1"/>
        </xdr:cNvSpPr>
      </xdr:nvSpPr>
      <xdr:spPr bwMode="auto">
        <a:xfrm>
          <a:off x="5734050" y="3524250"/>
          <a:ext cx="3190875" cy="177165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36576" tIns="32004" rIns="36576" bIns="32004" anchor="ctr" upright="1"/>
        <a:lstStyle/>
        <a:p>
          <a:pPr algn="ctr" rtl="0">
            <a:defRPr sz="1000"/>
          </a:pPr>
          <a:r>
            <a:rPr lang="en-GB" sz="1600" b="1" i="0" u="none" strike="noStrike" baseline="0">
              <a:solidFill>
                <a:srgbClr val="000000"/>
              </a:solidFill>
              <a:latin typeface="Arial"/>
              <a:cs typeface="Arial"/>
            </a:rPr>
            <a:t>Enter your own "custom" materials and values here.  All the associated worksheets will automatically update with whatever you enter in these cells.</a:t>
          </a:r>
        </a:p>
      </xdr:txBody>
    </xdr:sp>
    <xdr:clientData/>
  </xdr:twoCellAnchor>
  <xdr:twoCellAnchor>
    <xdr:from>
      <xdr:col>5</xdr:col>
      <xdr:colOff>47625</xdr:colOff>
      <xdr:row>24</xdr:row>
      <xdr:rowOff>104775</xdr:rowOff>
    </xdr:from>
    <xdr:to>
      <xdr:col>6</xdr:col>
      <xdr:colOff>142875</xdr:colOff>
      <xdr:row>25</xdr:row>
      <xdr:rowOff>104775</xdr:rowOff>
    </xdr:to>
    <xdr:sp macro="" textlink="">
      <xdr:nvSpPr>
        <xdr:cNvPr id="2121" name="Line 3"/>
        <xdr:cNvSpPr>
          <a:spLocks noChangeShapeType="1"/>
        </xdr:cNvSpPr>
      </xdr:nvSpPr>
      <xdr:spPr bwMode="auto">
        <a:xfrm flipH="1">
          <a:off x="4572000" y="4648200"/>
          <a:ext cx="1181100" cy="190500"/>
        </a:xfrm>
        <a:prstGeom prst="line">
          <a:avLst/>
        </a:prstGeom>
        <a:noFill/>
        <a:ln w="38100">
          <a:solidFill>
            <a:srgbClr val="000000"/>
          </a:solidFill>
          <a:round/>
          <a:headEnd/>
          <a:tailEnd type="triangle" w="med" len="med"/>
        </a:ln>
      </xdr:spPr>
    </xdr:sp>
    <xdr:clientData/>
  </xdr:twoCellAnchor>
  <xdr:twoCellAnchor editAs="absolute">
    <xdr:from>
      <xdr:col>0</xdr:col>
      <xdr:colOff>57150</xdr:colOff>
      <xdr:row>0</xdr:row>
      <xdr:rowOff>66675</xdr:rowOff>
    </xdr:from>
    <xdr:to>
      <xdr:col>0</xdr:col>
      <xdr:colOff>952500</xdr:colOff>
      <xdr:row>1</xdr:row>
      <xdr:rowOff>133350</xdr:rowOff>
    </xdr:to>
    <xdr:pic>
      <xdr:nvPicPr>
        <xdr:cNvPr id="2122" name="Picture 14">
          <a:hlinkClick xmlns:r="http://schemas.openxmlformats.org/officeDocument/2006/relationships" r:id="rId1" tooltip="Return to Main Menu"/>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150" y="66675"/>
          <a:ext cx="895350" cy="228600"/>
        </a:xfrm>
        <a:prstGeom prst="rect">
          <a:avLst/>
        </a:prstGeom>
        <a:noFill/>
        <a:ln w="9525">
          <a:noFill/>
          <a:miter lim="800000"/>
          <a:headEnd/>
          <a:tailEnd/>
        </a:ln>
      </xdr:spPr>
    </xdr:pic>
    <xdr:clientData fPrintsWithSheet="0"/>
  </xdr:twoCellAnchor>
  <xdr:twoCellAnchor editAs="absolute">
    <xdr:from>
      <xdr:col>0</xdr:col>
      <xdr:colOff>57150</xdr:colOff>
      <xdr:row>1</xdr:row>
      <xdr:rowOff>142875</xdr:rowOff>
    </xdr:from>
    <xdr:to>
      <xdr:col>0</xdr:col>
      <xdr:colOff>952500</xdr:colOff>
      <xdr:row>2</xdr:row>
      <xdr:rowOff>180975</xdr:rowOff>
    </xdr:to>
    <xdr:pic>
      <xdr:nvPicPr>
        <xdr:cNvPr id="2123" name="Picture 15">
          <a:hlinkClick xmlns:r="http://schemas.openxmlformats.org/officeDocument/2006/relationships" r:id="rId3" tooltip="Go To Master Index"/>
        </xdr:cNvPr>
        <xdr:cNvPicPr>
          <a:picLocks noChangeAspect="1" noChangeArrowheads="1"/>
        </xdr:cNvPicPr>
      </xdr:nvPicPr>
      <xdr:blipFill>
        <a:blip xmlns:r="http://schemas.openxmlformats.org/officeDocument/2006/relationships" r:embed="rId4" cstate="print"/>
        <a:srcRect/>
        <a:stretch>
          <a:fillRect/>
        </a:stretch>
      </xdr:blipFill>
      <xdr:spPr bwMode="auto">
        <a:xfrm>
          <a:off x="57150" y="304800"/>
          <a:ext cx="895350" cy="228600"/>
        </a:xfrm>
        <a:prstGeom prst="rect">
          <a:avLst/>
        </a:prstGeom>
        <a:noFill/>
        <a:ln w="9525">
          <a:noFill/>
          <a:miter lim="800000"/>
          <a:headEnd/>
          <a:tailEnd/>
        </a:ln>
      </xdr:spPr>
    </xdr:pic>
    <xdr:clientData fPrintsWithSheet="0"/>
  </xdr:twoCellAnchor>
  <xdr:twoCellAnchor editAs="absolute">
    <xdr:from>
      <xdr:col>0</xdr:col>
      <xdr:colOff>57150</xdr:colOff>
      <xdr:row>3</xdr:row>
      <xdr:rowOff>19050</xdr:rowOff>
    </xdr:from>
    <xdr:to>
      <xdr:col>0</xdr:col>
      <xdr:colOff>952500</xdr:colOff>
      <xdr:row>4</xdr:row>
      <xdr:rowOff>57150</xdr:rowOff>
    </xdr:to>
    <xdr:pic>
      <xdr:nvPicPr>
        <xdr:cNvPr id="2124" name="Picture 16">
          <a:hlinkClick xmlns:r="http://schemas.openxmlformats.org/officeDocument/2006/relationships" r:id="rId5" tooltip="Go To Weights Menu"/>
        </xdr:cNvPr>
        <xdr:cNvPicPr>
          <a:picLocks noChangeAspect="1" noChangeArrowheads="1"/>
        </xdr:cNvPicPr>
      </xdr:nvPicPr>
      <xdr:blipFill>
        <a:blip xmlns:r="http://schemas.openxmlformats.org/officeDocument/2006/relationships" r:embed="rId6" cstate="print"/>
        <a:srcRect/>
        <a:stretch>
          <a:fillRect/>
        </a:stretch>
      </xdr:blipFill>
      <xdr:spPr bwMode="auto">
        <a:xfrm>
          <a:off x="57150" y="561975"/>
          <a:ext cx="895350" cy="228600"/>
        </a:xfrm>
        <a:prstGeom prst="rect">
          <a:avLst/>
        </a:prstGeom>
        <a:noFill/>
        <a:ln w="9525">
          <a:noFill/>
          <a:miter lim="800000"/>
          <a:headEnd/>
          <a:tailEnd/>
        </a:ln>
      </xdr:spPr>
    </xdr:pic>
    <xdr:clientData fPrintsWithSheet="0"/>
  </xdr:twoCellAnchor>
  <xdr:twoCellAnchor editAs="absolute">
    <xdr:from>
      <xdr:col>0</xdr:col>
      <xdr:colOff>57150</xdr:colOff>
      <xdr:row>4</xdr:row>
      <xdr:rowOff>57150</xdr:rowOff>
    </xdr:from>
    <xdr:to>
      <xdr:col>0</xdr:col>
      <xdr:colOff>952500</xdr:colOff>
      <xdr:row>5</xdr:row>
      <xdr:rowOff>95250</xdr:rowOff>
    </xdr:to>
    <xdr:pic>
      <xdr:nvPicPr>
        <xdr:cNvPr id="2125" name="Picture 17">
          <a:hlinkClick xmlns:r="http://schemas.openxmlformats.org/officeDocument/2006/relationships" r:id="rId7" tooltip="Go To Tensions Menu"/>
        </xdr:cNvPr>
        <xdr:cNvPicPr>
          <a:picLocks noChangeAspect="1" noChangeArrowheads="1"/>
        </xdr:cNvPicPr>
      </xdr:nvPicPr>
      <xdr:blipFill>
        <a:blip xmlns:r="http://schemas.openxmlformats.org/officeDocument/2006/relationships" r:embed="rId8" cstate="print"/>
        <a:srcRect/>
        <a:stretch>
          <a:fillRect/>
        </a:stretch>
      </xdr:blipFill>
      <xdr:spPr bwMode="auto">
        <a:xfrm>
          <a:off x="57150" y="790575"/>
          <a:ext cx="895350" cy="228600"/>
        </a:xfrm>
        <a:prstGeom prst="rect">
          <a:avLst/>
        </a:prstGeom>
        <a:noFill/>
        <a:ln w="9525">
          <a:noFill/>
          <a:miter lim="800000"/>
          <a:headEnd/>
          <a:tailEnd/>
        </a:ln>
      </xdr:spPr>
    </xdr:pic>
    <xdr:clientData fPrintsWithSheet="0"/>
  </xdr:twoCellAnchor>
  <xdr:twoCellAnchor editAs="absolute">
    <xdr:from>
      <xdr:col>0</xdr:col>
      <xdr:colOff>57150</xdr:colOff>
      <xdr:row>5</xdr:row>
      <xdr:rowOff>95250</xdr:rowOff>
    </xdr:from>
    <xdr:to>
      <xdr:col>0</xdr:col>
      <xdr:colOff>952500</xdr:colOff>
      <xdr:row>6</xdr:row>
      <xdr:rowOff>133350</xdr:rowOff>
    </xdr:to>
    <xdr:pic>
      <xdr:nvPicPr>
        <xdr:cNvPr id="2126" name="Picture 18">
          <a:hlinkClick xmlns:r="http://schemas.openxmlformats.org/officeDocument/2006/relationships" r:id="rId9" tooltip="Go To Equipment Menu"/>
        </xdr:cNvPr>
        <xdr:cNvPicPr>
          <a:picLocks noChangeAspect="1" noChangeArrowheads="1"/>
        </xdr:cNvPicPr>
      </xdr:nvPicPr>
      <xdr:blipFill>
        <a:blip xmlns:r="http://schemas.openxmlformats.org/officeDocument/2006/relationships" r:embed="rId10" cstate="print"/>
        <a:srcRect/>
        <a:stretch>
          <a:fillRect/>
        </a:stretch>
      </xdr:blipFill>
      <xdr:spPr bwMode="auto">
        <a:xfrm>
          <a:off x="57150" y="1019175"/>
          <a:ext cx="895350" cy="228600"/>
        </a:xfrm>
        <a:prstGeom prst="rect">
          <a:avLst/>
        </a:prstGeom>
        <a:noFill/>
        <a:ln w="9525">
          <a:noFill/>
          <a:miter lim="800000"/>
          <a:headEnd/>
          <a:tailEnd/>
        </a:ln>
      </xdr:spPr>
    </xdr:pic>
    <xdr:clientData fPrintsWithSheet="0"/>
  </xdr:twoCellAnchor>
  <xdr:twoCellAnchor editAs="absolute">
    <xdr:from>
      <xdr:col>0</xdr:col>
      <xdr:colOff>85725</xdr:colOff>
      <xdr:row>39</xdr:row>
      <xdr:rowOff>28575</xdr:rowOff>
    </xdr:from>
    <xdr:to>
      <xdr:col>0</xdr:col>
      <xdr:colOff>981075</xdr:colOff>
      <xdr:row>40</xdr:row>
      <xdr:rowOff>66675</xdr:rowOff>
    </xdr:to>
    <xdr:pic>
      <xdr:nvPicPr>
        <xdr:cNvPr id="2127" name="Picture 19">
          <a:hlinkClick xmlns:r="http://schemas.openxmlformats.org/officeDocument/2006/relationships" r:id="rId1" tooltip="Return to Main Menu"/>
        </xdr:cNvPr>
        <xdr:cNvPicPr>
          <a:picLocks noChangeAspect="1" noChangeArrowheads="1"/>
        </xdr:cNvPicPr>
      </xdr:nvPicPr>
      <xdr:blipFill>
        <a:blip xmlns:r="http://schemas.openxmlformats.org/officeDocument/2006/relationships" r:embed="rId2" cstate="print"/>
        <a:srcRect/>
        <a:stretch>
          <a:fillRect/>
        </a:stretch>
      </xdr:blipFill>
      <xdr:spPr bwMode="auto">
        <a:xfrm>
          <a:off x="85725" y="7181850"/>
          <a:ext cx="895350" cy="228600"/>
        </a:xfrm>
        <a:prstGeom prst="rect">
          <a:avLst/>
        </a:prstGeom>
        <a:noFill/>
        <a:ln w="9525">
          <a:noFill/>
          <a:miter lim="800000"/>
          <a:headEnd/>
          <a:tailEnd/>
        </a:ln>
      </xdr:spPr>
    </xdr:pic>
    <xdr:clientData fPrintsWithSheet="0"/>
  </xdr:twoCellAnchor>
  <xdr:twoCellAnchor editAs="absolute">
    <xdr:from>
      <xdr:col>0</xdr:col>
      <xdr:colOff>85725</xdr:colOff>
      <xdr:row>40</xdr:row>
      <xdr:rowOff>76200</xdr:rowOff>
    </xdr:from>
    <xdr:to>
      <xdr:col>0</xdr:col>
      <xdr:colOff>981075</xdr:colOff>
      <xdr:row>41</xdr:row>
      <xdr:rowOff>114300</xdr:rowOff>
    </xdr:to>
    <xdr:pic>
      <xdr:nvPicPr>
        <xdr:cNvPr id="2128" name="Picture 20">
          <a:hlinkClick xmlns:r="http://schemas.openxmlformats.org/officeDocument/2006/relationships" r:id="rId3" tooltip="Go To Master Index"/>
        </xdr:cNvPr>
        <xdr:cNvPicPr>
          <a:picLocks noChangeAspect="1" noChangeArrowheads="1"/>
        </xdr:cNvPicPr>
      </xdr:nvPicPr>
      <xdr:blipFill>
        <a:blip xmlns:r="http://schemas.openxmlformats.org/officeDocument/2006/relationships" r:embed="rId4" cstate="print"/>
        <a:srcRect/>
        <a:stretch>
          <a:fillRect/>
        </a:stretch>
      </xdr:blipFill>
      <xdr:spPr bwMode="auto">
        <a:xfrm>
          <a:off x="85725" y="7419975"/>
          <a:ext cx="895350" cy="228600"/>
        </a:xfrm>
        <a:prstGeom prst="rect">
          <a:avLst/>
        </a:prstGeom>
        <a:noFill/>
        <a:ln w="9525">
          <a:noFill/>
          <a:miter lim="800000"/>
          <a:headEnd/>
          <a:tailEnd/>
        </a:ln>
      </xdr:spPr>
    </xdr:pic>
    <xdr:clientData fPrintsWithSheet="0"/>
  </xdr:twoCellAnchor>
  <xdr:twoCellAnchor editAs="absolute">
    <xdr:from>
      <xdr:col>0</xdr:col>
      <xdr:colOff>85725</xdr:colOff>
      <xdr:row>41</xdr:row>
      <xdr:rowOff>142875</xdr:rowOff>
    </xdr:from>
    <xdr:to>
      <xdr:col>0</xdr:col>
      <xdr:colOff>981075</xdr:colOff>
      <xdr:row>42</xdr:row>
      <xdr:rowOff>180975</xdr:rowOff>
    </xdr:to>
    <xdr:pic>
      <xdr:nvPicPr>
        <xdr:cNvPr id="2129" name="Picture 21">
          <a:hlinkClick xmlns:r="http://schemas.openxmlformats.org/officeDocument/2006/relationships" r:id="rId5" tooltip="Go To Weights Menu"/>
        </xdr:cNvPr>
        <xdr:cNvPicPr>
          <a:picLocks noChangeAspect="1" noChangeArrowheads="1"/>
        </xdr:cNvPicPr>
      </xdr:nvPicPr>
      <xdr:blipFill>
        <a:blip xmlns:r="http://schemas.openxmlformats.org/officeDocument/2006/relationships" r:embed="rId6" cstate="print"/>
        <a:srcRect/>
        <a:stretch>
          <a:fillRect/>
        </a:stretch>
      </xdr:blipFill>
      <xdr:spPr bwMode="auto">
        <a:xfrm>
          <a:off x="85725" y="7677150"/>
          <a:ext cx="895350" cy="228600"/>
        </a:xfrm>
        <a:prstGeom prst="rect">
          <a:avLst/>
        </a:prstGeom>
        <a:noFill/>
        <a:ln w="9525">
          <a:noFill/>
          <a:miter lim="800000"/>
          <a:headEnd/>
          <a:tailEnd/>
        </a:ln>
      </xdr:spPr>
    </xdr:pic>
    <xdr:clientData fPrintsWithSheet="0"/>
  </xdr:twoCellAnchor>
  <xdr:twoCellAnchor editAs="absolute">
    <xdr:from>
      <xdr:col>0</xdr:col>
      <xdr:colOff>85725</xdr:colOff>
      <xdr:row>42</xdr:row>
      <xdr:rowOff>180975</xdr:rowOff>
    </xdr:from>
    <xdr:to>
      <xdr:col>0</xdr:col>
      <xdr:colOff>981075</xdr:colOff>
      <xdr:row>44</xdr:row>
      <xdr:rowOff>28575</xdr:rowOff>
    </xdr:to>
    <xdr:pic>
      <xdr:nvPicPr>
        <xdr:cNvPr id="2130" name="Picture 22">
          <a:hlinkClick xmlns:r="http://schemas.openxmlformats.org/officeDocument/2006/relationships" r:id="rId7" tooltip="Go To Tensions Menu"/>
        </xdr:cNvPr>
        <xdr:cNvPicPr>
          <a:picLocks noChangeAspect="1" noChangeArrowheads="1"/>
        </xdr:cNvPicPr>
      </xdr:nvPicPr>
      <xdr:blipFill>
        <a:blip xmlns:r="http://schemas.openxmlformats.org/officeDocument/2006/relationships" r:embed="rId8" cstate="print"/>
        <a:srcRect/>
        <a:stretch>
          <a:fillRect/>
        </a:stretch>
      </xdr:blipFill>
      <xdr:spPr bwMode="auto">
        <a:xfrm>
          <a:off x="85725" y="7905750"/>
          <a:ext cx="895350" cy="228600"/>
        </a:xfrm>
        <a:prstGeom prst="rect">
          <a:avLst/>
        </a:prstGeom>
        <a:noFill/>
        <a:ln w="9525">
          <a:noFill/>
          <a:miter lim="800000"/>
          <a:headEnd/>
          <a:tailEnd/>
        </a:ln>
      </xdr:spPr>
    </xdr:pic>
    <xdr:clientData fPrintsWithSheet="0"/>
  </xdr:twoCellAnchor>
  <xdr:twoCellAnchor editAs="absolute">
    <xdr:from>
      <xdr:col>0</xdr:col>
      <xdr:colOff>85725</xdr:colOff>
      <xdr:row>44</xdr:row>
      <xdr:rowOff>28575</xdr:rowOff>
    </xdr:from>
    <xdr:to>
      <xdr:col>0</xdr:col>
      <xdr:colOff>981075</xdr:colOff>
      <xdr:row>45</xdr:row>
      <xdr:rowOff>66675</xdr:rowOff>
    </xdr:to>
    <xdr:pic>
      <xdr:nvPicPr>
        <xdr:cNvPr id="2131" name="Picture 23">
          <a:hlinkClick xmlns:r="http://schemas.openxmlformats.org/officeDocument/2006/relationships" r:id="rId9" tooltip="Go To Equipment Menu"/>
        </xdr:cNvPr>
        <xdr:cNvPicPr>
          <a:picLocks noChangeAspect="1" noChangeArrowheads="1"/>
        </xdr:cNvPicPr>
      </xdr:nvPicPr>
      <xdr:blipFill>
        <a:blip xmlns:r="http://schemas.openxmlformats.org/officeDocument/2006/relationships" r:embed="rId10" cstate="print"/>
        <a:srcRect/>
        <a:stretch>
          <a:fillRect/>
        </a:stretch>
      </xdr:blipFill>
      <xdr:spPr bwMode="auto">
        <a:xfrm>
          <a:off x="85725" y="8134350"/>
          <a:ext cx="895350" cy="228600"/>
        </a:xfrm>
        <a:prstGeom prst="rect">
          <a:avLst/>
        </a:prstGeom>
        <a:noFill/>
        <a:ln w="9525">
          <a:noFill/>
          <a:miter lim="800000"/>
          <a:headEnd/>
          <a:tailEnd/>
        </a:ln>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1</xdr:col>
      <xdr:colOff>9525</xdr:colOff>
      <xdr:row>0</xdr:row>
      <xdr:rowOff>66675</xdr:rowOff>
    </xdr:from>
    <xdr:to>
      <xdr:col>1</xdr:col>
      <xdr:colOff>790575</xdr:colOff>
      <xdr:row>1</xdr:row>
      <xdr:rowOff>133350</xdr:rowOff>
    </xdr:to>
    <xdr:pic>
      <xdr:nvPicPr>
        <xdr:cNvPr id="51321" name="Picture 15">
          <a:hlinkClick xmlns:r="http://schemas.openxmlformats.org/officeDocument/2006/relationships" r:id="rId1" tooltip="Home"/>
        </xdr:cNvPr>
        <xdr:cNvPicPr>
          <a:picLocks noChangeAspect="1" noChangeArrowheads="1"/>
        </xdr:cNvPicPr>
      </xdr:nvPicPr>
      <xdr:blipFill>
        <a:blip xmlns:r="http://schemas.openxmlformats.org/officeDocument/2006/relationships" r:embed="rId2" cstate="print"/>
        <a:srcRect/>
        <a:stretch>
          <a:fillRect/>
        </a:stretch>
      </xdr:blipFill>
      <xdr:spPr bwMode="auto">
        <a:xfrm>
          <a:off x="257175" y="66675"/>
          <a:ext cx="781050" cy="228600"/>
        </a:xfrm>
        <a:prstGeom prst="rect">
          <a:avLst/>
        </a:prstGeom>
        <a:noFill/>
        <a:ln w="9525">
          <a:noFill/>
          <a:miter lim="800000"/>
          <a:headEnd/>
          <a:tailEnd/>
        </a:ln>
      </xdr:spPr>
    </xdr:pic>
    <xdr:clientData fPrintsWithSheet="0"/>
  </xdr:twoCellAnchor>
  <xdr:twoCellAnchor editAs="absolute">
    <xdr:from>
      <xdr:col>1</xdr:col>
      <xdr:colOff>828675</xdr:colOff>
      <xdr:row>0</xdr:row>
      <xdr:rowOff>66675</xdr:rowOff>
    </xdr:from>
    <xdr:to>
      <xdr:col>2</xdr:col>
      <xdr:colOff>361950</xdr:colOff>
      <xdr:row>1</xdr:row>
      <xdr:rowOff>133350</xdr:rowOff>
    </xdr:to>
    <xdr:pic>
      <xdr:nvPicPr>
        <xdr:cNvPr id="51322" name="Picture 16">
          <a:hlinkClick xmlns:r="http://schemas.openxmlformats.org/officeDocument/2006/relationships" r:id="rId3" tooltip="Master Index"/>
        </xdr:cNvPr>
        <xdr:cNvPicPr>
          <a:picLocks noChangeAspect="1" noChangeArrowheads="1"/>
        </xdr:cNvPicPr>
      </xdr:nvPicPr>
      <xdr:blipFill>
        <a:blip xmlns:r="http://schemas.openxmlformats.org/officeDocument/2006/relationships" r:embed="rId4" cstate="print"/>
        <a:srcRect/>
        <a:stretch>
          <a:fillRect/>
        </a:stretch>
      </xdr:blipFill>
      <xdr:spPr bwMode="auto">
        <a:xfrm>
          <a:off x="1076325" y="66675"/>
          <a:ext cx="781050" cy="228600"/>
        </a:xfrm>
        <a:prstGeom prst="rect">
          <a:avLst/>
        </a:prstGeom>
        <a:noFill/>
        <a:ln w="9525">
          <a:noFill/>
          <a:miter lim="800000"/>
          <a:headEnd/>
          <a:tailEnd/>
        </a:ln>
      </xdr:spPr>
    </xdr:pic>
    <xdr:clientData fPrintsWithSheet="0"/>
  </xdr:twoCellAnchor>
  <xdr:twoCellAnchor editAs="absolute">
    <xdr:from>
      <xdr:col>3</xdr:col>
      <xdr:colOff>142875</xdr:colOff>
      <xdr:row>0</xdr:row>
      <xdr:rowOff>66675</xdr:rowOff>
    </xdr:from>
    <xdr:to>
      <xdr:col>3</xdr:col>
      <xdr:colOff>923925</xdr:colOff>
      <xdr:row>1</xdr:row>
      <xdr:rowOff>133350</xdr:rowOff>
    </xdr:to>
    <xdr:pic>
      <xdr:nvPicPr>
        <xdr:cNvPr id="51323" name="Picture 18">
          <a:hlinkClick xmlns:r="http://schemas.openxmlformats.org/officeDocument/2006/relationships" r:id="rId5" tooltip="Tensions Menu"/>
        </xdr:cNvPr>
        <xdr:cNvPicPr>
          <a:picLocks noChangeAspect="1" noChangeArrowheads="1"/>
        </xdr:cNvPicPr>
      </xdr:nvPicPr>
      <xdr:blipFill>
        <a:blip xmlns:r="http://schemas.openxmlformats.org/officeDocument/2006/relationships" r:embed="rId6" cstate="print"/>
        <a:srcRect/>
        <a:stretch>
          <a:fillRect/>
        </a:stretch>
      </xdr:blipFill>
      <xdr:spPr bwMode="auto">
        <a:xfrm>
          <a:off x="2886075" y="66675"/>
          <a:ext cx="781050" cy="228600"/>
        </a:xfrm>
        <a:prstGeom prst="rect">
          <a:avLst/>
        </a:prstGeom>
        <a:noFill/>
        <a:ln w="9525">
          <a:noFill/>
          <a:miter lim="800000"/>
          <a:headEnd/>
          <a:tailEnd/>
        </a:ln>
      </xdr:spPr>
    </xdr:pic>
    <xdr:clientData fPrintsWithSheet="0"/>
  </xdr:twoCellAnchor>
  <xdr:twoCellAnchor editAs="absolute">
    <xdr:from>
      <xdr:col>3</xdr:col>
      <xdr:colOff>971550</xdr:colOff>
      <xdr:row>0</xdr:row>
      <xdr:rowOff>66675</xdr:rowOff>
    </xdr:from>
    <xdr:to>
      <xdr:col>4</xdr:col>
      <xdr:colOff>504825</xdr:colOff>
      <xdr:row>1</xdr:row>
      <xdr:rowOff>133350</xdr:rowOff>
    </xdr:to>
    <xdr:pic>
      <xdr:nvPicPr>
        <xdr:cNvPr id="51324" name="Picture 19">
          <a:hlinkClick xmlns:r="http://schemas.openxmlformats.org/officeDocument/2006/relationships" r:id="rId7" tooltip="Equipment Menu"/>
        </xdr:cNvPr>
        <xdr:cNvPicPr>
          <a:picLocks noChangeAspect="1" noChangeArrowheads="1"/>
        </xdr:cNvPicPr>
      </xdr:nvPicPr>
      <xdr:blipFill>
        <a:blip xmlns:r="http://schemas.openxmlformats.org/officeDocument/2006/relationships" r:embed="rId8" cstate="print"/>
        <a:srcRect/>
        <a:stretch>
          <a:fillRect/>
        </a:stretch>
      </xdr:blipFill>
      <xdr:spPr bwMode="auto">
        <a:xfrm>
          <a:off x="3714750" y="66675"/>
          <a:ext cx="781050" cy="228600"/>
        </a:xfrm>
        <a:prstGeom prst="rect">
          <a:avLst/>
        </a:prstGeom>
        <a:noFill/>
        <a:ln w="9525">
          <a:noFill/>
          <a:miter lim="800000"/>
          <a:headEnd/>
          <a:tailEnd/>
        </a:ln>
      </xdr:spPr>
    </xdr:pic>
    <xdr:clientData fPrintsWithSheet="0"/>
  </xdr:twoCellAnchor>
  <xdr:twoCellAnchor>
    <xdr:from>
      <xdr:col>4</xdr:col>
      <xdr:colOff>219075</xdr:colOff>
      <xdr:row>10</xdr:row>
      <xdr:rowOff>104775</xdr:rowOff>
    </xdr:from>
    <xdr:to>
      <xdr:col>5</xdr:col>
      <xdr:colOff>1200150</xdr:colOff>
      <xdr:row>17</xdr:row>
      <xdr:rowOff>0</xdr:rowOff>
    </xdr:to>
    <xdr:sp macro="" textlink="">
      <xdr:nvSpPr>
        <xdr:cNvPr id="51220" name="Text Box 20"/>
        <xdr:cNvSpPr txBox="1">
          <a:spLocks noChangeArrowheads="1"/>
        </xdr:cNvSpPr>
      </xdr:nvSpPr>
      <xdr:spPr bwMode="auto">
        <a:xfrm>
          <a:off x="4210050" y="2686050"/>
          <a:ext cx="2228850" cy="12573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GB" sz="1000" b="1" i="0" u="none" strike="noStrike" baseline="0">
              <a:solidFill>
                <a:srgbClr val="000000"/>
              </a:solidFill>
              <a:latin typeface="Arial"/>
              <a:cs typeface="Arial"/>
            </a:rPr>
            <a:t>IMPORTANT</a:t>
          </a:r>
        </a:p>
        <a:p>
          <a:pPr algn="ctr" rtl="0">
            <a:defRPr sz="1000"/>
          </a:pPr>
          <a:endParaRPr lang="en-GB" sz="1000" b="1" i="0" u="none" strike="noStrike" baseline="0">
            <a:solidFill>
              <a:srgbClr val="000000"/>
            </a:solidFill>
            <a:latin typeface="Arial"/>
            <a:cs typeface="Arial"/>
          </a:endParaRPr>
        </a:p>
        <a:p>
          <a:pPr algn="ctr" rtl="0">
            <a:defRPr sz="1000"/>
          </a:pPr>
          <a:r>
            <a:rPr lang="en-GB" sz="1000" b="1" i="0" u="none" strike="noStrike" baseline="0">
              <a:solidFill>
                <a:srgbClr val="000000"/>
              </a:solidFill>
              <a:latin typeface="Arial"/>
              <a:cs typeface="Arial"/>
            </a:rPr>
            <a:t>THESE WORKSHEETS ARE MATHEMATICAL TOOLS ONLY. ALL CALCULATIONS AND DECISIONS ARE THE RESPONSIBILITY OF A QUALIFIED PERSON.</a:t>
          </a:r>
        </a:p>
      </xdr:txBody>
    </xdr:sp>
    <xdr:clientData/>
  </xdr:twoCellAnchor>
  <xdr:twoCellAnchor editAs="oneCell">
    <xdr:from>
      <xdr:col>2</xdr:col>
      <xdr:colOff>200025</xdr:colOff>
      <xdr:row>11</xdr:row>
      <xdr:rowOff>114300</xdr:rowOff>
    </xdr:from>
    <xdr:to>
      <xdr:col>4</xdr:col>
      <xdr:colOff>9525</xdr:colOff>
      <xdr:row>16</xdr:row>
      <xdr:rowOff>9525</xdr:rowOff>
    </xdr:to>
    <xdr:pic>
      <xdr:nvPicPr>
        <xdr:cNvPr id="51326" name="Picture 21"/>
        <xdr:cNvPicPr>
          <a:picLocks noChangeAspect="1" noChangeArrowheads="1"/>
        </xdr:cNvPicPr>
      </xdr:nvPicPr>
      <xdr:blipFill>
        <a:blip xmlns:r="http://schemas.openxmlformats.org/officeDocument/2006/relationships" r:embed="rId9" cstate="print"/>
        <a:srcRect/>
        <a:stretch>
          <a:fillRect/>
        </a:stretch>
      </xdr:blipFill>
      <xdr:spPr bwMode="auto">
        <a:xfrm>
          <a:off x="1695450" y="2857500"/>
          <a:ext cx="2305050" cy="895350"/>
        </a:xfrm>
        <a:prstGeom prst="rect">
          <a:avLst/>
        </a:prstGeom>
        <a:noFill/>
        <a:ln w="9525">
          <a:noFill/>
          <a:miter lim="800000"/>
          <a:headEnd/>
          <a:tailEnd/>
        </a:ln>
      </xdr:spPr>
    </xdr:pic>
    <xdr:clientData/>
  </xdr:twoCellAnchor>
  <xdr:twoCellAnchor editAs="oneCell">
    <xdr:from>
      <xdr:col>1</xdr:col>
      <xdr:colOff>400050</xdr:colOff>
      <xdr:row>3</xdr:row>
      <xdr:rowOff>104775</xdr:rowOff>
    </xdr:from>
    <xdr:to>
      <xdr:col>1</xdr:col>
      <xdr:colOff>885825</xdr:colOff>
      <xdr:row>3</xdr:row>
      <xdr:rowOff>542925</xdr:rowOff>
    </xdr:to>
    <xdr:pic>
      <xdr:nvPicPr>
        <xdr:cNvPr id="51327" name="Picture 22">
          <a:hlinkClick xmlns:r="http://schemas.openxmlformats.org/officeDocument/2006/relationships" r:id="rId10" tooltip="Cubes"/>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47700" y="733425"/>
          <a:ext cx="485775" cy="438150"/>
        </a:xfrm>
        <a:prstGeom prst="rect">
          <a:avLst/>
        </a:prstGeom>
        <a:noFill/>
        <a:ln w="9525">
          <a:noFill/>
          <a:miter lim="800000"/>
          <a:headEnd/>
          <a:tailEnd/>
        </a:ln>
      </xdr:spPr>
    </xdr:pic>
    <xdr:clientData/>
  </xdr:twoCellAnchor>
  <xdr:twoCellAnchor editAs="oneCell">
    <xdr:from>
      <xdr:col>2</xdr:col>
      <xdr:colOff>504825</xdr:colOff>
      <xdr:row>3</xdr:row>
      <xdr:rowOff>28575</xdr:rowOff>
    </xdr:from>
    <xdr:to>
      <xdr:col>2</xdr:col>
      <xdr:colOff>771525</xdr:colOff>
      <xdr:row>3</xdr:row>
      <xdr:rowOff>542925</xdr:rowOff>
    </xdr:to>
    <xdr:pic>
      <xdr:nvPicPr>
        <xdr:cNvPr id="51328" name="Picture 23">
          <a:hlinkClick xmlns:r="http://schemas.openxmlformats.org/officeDocument/2006/relationships" r:id="rId12" tooltip="Prism"/>
        </xdr:cNvPr>
        <xdr:cNvPicPr>
          <a:picLocks noChangeAspect="1" noChangeArrowheads="1"/>
        </xdr:cNvPicPr>
      </xdr:nvPicPr>
      <xdr:blipFill>
        <a:blip xmlns:r="http://schemas.openxmlformats.org/officeDocument/2006/relationships" r:embed="rId13" cstate="print"/>
        <a:srcRect/>
        <a:stretch>
          <a:fillRect/>
        </a:stretch>
      </xdr:blipFill>
      <xdr:spPr bwMode="auto">
        <a:xfrm>
          <a:off x="2000250" y="657225"/>
          <a:ext cx="266700" cy="514350"/>
        </a:xfrm>
        <a:prstGeom prst="rect">
          <a:avLst/>
        </a:prstGeom>
        <a:noFill/>
        <a:ln w="9525">
          <a:noFill/>
          <a:miter lim="800000"/>
          <a:headEnd/>
          <a:tailEnd/>
        </a:ln>
      </xdr:spPr>
    </xdr:pic>
    <xdr:clientData/>
  </xdr:twoCellAnchor>
  <xdr:twoCellAnchor editAs="oneCell">
    <xdr:from>
      <xdr:col>3</xdr:col>
      <xdr:colOff>361950</xdr:colOff>
      <xdr:row>3</xdr:row>
      <xdr:rowOff>76200</xdr:rowOff>
    </xdr:from>
    <xdr:to>
      <xdr:col>3</xdr:col>
      <xdr:colOff>866775</xdr:colOff>
      <xdr:row>3</xdr:row>
      <xdr:rowOff>552450</xdr:rowOff>
    </xdr:to>
    <xdr:pic>
      <xdr:nvPicPr>
        <xdr:cNvPr id="51329" name="Picture 24">
          <a:hlinkClick xmlns:r="http://schemas.openxmlformats.org/officeDocument/2006/relationships" r:id="rId14" tooltip="Pyramid"/>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105150" y="704850"/>
          <a:ext cx="504825" cy="476250"/>
        </a:xfrm>
        <a:prstGeom prst="rect">
          <a:avLst/>
        </a:prstGeom>
        <a:noFill/>
        <a:ln w="9525">
          <a:noFill/>
          <a:miter lim="800000"/>
          <a:headEnd/>
          <a:tailEnd/>
        </a:ln>
      </xdr:spPr>
    </xdr:pic>
    <xdr:clientData/>
  </xdr:twoCellAnchor>
  <xdr:twoCellAnchor editAs="oneCell">
    <xdr:from>
      <xdr:col>4</xdr:col>
      <xdr:colOff>342900</xdr:colOff>
      <xdr:row>3</xdr:row>
      <xdr:rowOff>152400</xdr:rowOff>
    </xdr:from>
    <xdr:to>
      <xdr:col>4</xdr:col>
      <xdr:colOff>904875</xdr:colOff>
      <xdr:row>3</xdr:row>
      <xdr:rowOff>533400</xdr:rowOff>
    </xdr:to>
    <xdr:pic>
      <xdr:nvPicPr>
        <xdr:cNvPr id="51330" name="Picture 25">
          <a:hlinkClick xmlns:r="http://schemas.openxmlformats.org/officeDocument/2006/relationships" r:id="rId16" tooltip="Fustum of a Pyramid"/>
        </xdr:cNvPr>
        <xdr:cNvPicPr>
          <a:picLocks noChangeAspect="1" noChangeArrowheads="1"/>
        </xdr:cNvPicPr>
      </xdr:nvPicPr>
      <xdr:blipFill>
        <a:blip xmlns:r="http://schemas.openxmlformats.org/officeDocument/2006/relationships" r:embed="rId17" cstate="print"/>
        <a:srcRect/>
        <a:stretch>
          <a:fillRect/>
        </a:stretch>
      </xdr:blipFill>
      <xdr:spPr bwMode="auto">
        <a:xfrm>
          <a:off x="4333875" y="781050"/>
          <a:ext cx="561975" cy="381000"/>
        </a:xfrm>
        <a:prstGeom prst="rect">
          <a:avLst/>
        </a:prstGeom>
        <a:noFill/>
        <a:ln w="9525">
          <a:noFill/>
          <a:miter lim="800000"/>
          <a:headEnd/>
          <a:tailEnd/>
        </a:ln>
      </xdr:spPr>
    </xdr:pic>
    <xdr:clientData/>
  </xdr:twoCellAnchor>
  <xdr:twoCellAnchor editAs="oneCell">
    <xdr:from>
      <xdr:col>1</xdr:col>
      <xdr:colOff>476250</xdr:colOff>
      <xdr:row>6</xdr:row>
      <xdr:rowOff>28575</xdr:rowOff>
    </xdr:from>
    <xdr:to>
      <xdr:col>1</xdr:col>
      <xdr:colOff>714375</xdr:colOff>
      <xdr:row>6</xdr:row>
      <xdr:rowOff>523875</xdr:rowOff>
    </xdr:to>
    <xdr:pic>
      <xdr:nvPicPr>
        <xdr:cNvPr id="51331" name="Picture 26">
          <a:hlinkClick xmlns:r="http://schemas.openxmlformats.org/officeDocument/2006/relationships" r:id="rId18" tooltip="Cylinder"/>
        </xdr:cNvPr>
        <xdr:cNvPicPr>
          <a:picLocks noChangeAspect="1" noChangeArrowheads="1"/>
        </xdr:cNvPicPr>
      </xdr:nvPicPr>
      <xdr:blipFill>
        <a:blip xmlns:r="http://schemas.openxmlformats.org/officeDocument/2006/relationships" r:embed="rId19" cstate="print"/>
        <a:srcRect/>
        <a:stretch>
          <a:fillRect/>
        </a:stretch>
      </xdr:blipFill>
      <xdr:spPr bwMode="auto">
        <a:xfrm>
          <a:off x="723900" y="1504950"/>
          <a:ext cx="238125" cy="495300"/>
        </a:xfrm>
        <a:prstGeom prst="rect">
          <a:avLst/>
        </a:prstGeom>
        <a:noFill/>
        <a:ln w="9525">
          <a:noFill/>
          <a:miter lim="800000"/>
          <a:headEnd/>
          <a:tailEnd/>
        </a:ln>
      </xdr:spPr>
    </xdr:pic>
    <xdr:clientData/>
  </xdr:twoCellAnchor>
  <xdr:twoCellAnchor editAs="oneCell">
    <xdr:from>
      <xdr:col>2</xdr:col>
      <xdr:colOff>381000</xdr:colOff>
      <xdr:row>6</xdr:row>
      <xdr:rowOff>19050</xdr:rowOff>
    </xdr:from>
    <xdr:to>
      <xdr:col>2</xdr:col>
      <xdr:colOff>847725</xdr:colOff>
      <xdr:row>6</xdr:row>
      <xdr:rowOff>514350</xdr:rowOff>
    </xdr:to>
    <xdr:pic>
      <xdr:nvPicPr>
        <xdr:cNvPr id="51332" name="Picture 27">
          <a:hlinkClick xmlns:r="http://schemas.openxmlformats.org/officeDocument/2006/relationships" r:id="rId20" tooltip="Hollow Cylinder"/>
        </xdr:cNvPr>
        <xdr:cNvPicPr>
          <a:picLocks noChangeAspect="1" noChangeArrowheads="1"/>
        </xdr:cNvPicPr>
      </xdr:nvPicPr>
      <xdr:blipFill>
        <a:blip xmlns:r="http://schemas.openxmlformats.org/officeDocument/2006/relationships" r:embed="rId21" cstate="print"/>
        <a:srcRect/>
        <a:stretch>
          <a:fillRect/>
        </a:stretch>
      </xdr:blipFill>
      <xdr:spPr bwMode="auto">
        <a:xfrm>
          <a:off x="1876425" y="1495425"/>
          <a:ext cx="466725" cy="495300"/>
        </a:xfrm>
        <a:prstGeom prst="rect">
          <a:avLst/>
        </a:prstGeom>
        <a:noFill/>
        <a:ln w="9525">
          <a:noFill/>
          <a:miter lim="800000"/>
          <a:headEnd/>
          <a:tailEnd/>
        </a:ln>
      </xdr:spPr>
    </xdr:pic>
    <xdr:clientData/>
  </xdr:twoCellAnchor>
  <xdr:twoCellAnchor editAs="oneCell">
    <xdr:from>
      <xdr:col>3</xdr:col>
      <xdr:colOff>476250</xdr:colOff>
      <xdr:row>6</xdr:row>
      <xdr:rowOff>28575</xdr:rowOff>
    </xdr:from>
    <xdr:to>
      <xdr:col>3</xdr:col>
      <xdr:colOff>742950</xdr:colOff>
      <xdr:row>6</xdr:row>
      <xdr:rowOff>495300</xdr:rowOff>
    </xdr:to>
    <xdr:pic>
      <xdr:nvPicPr>
        <xdr:cNvPr id="51333" name="Picture 28">
          <a:hlinkClick xmlns:r="http://schemas.openxmlformats.org/officeDocument/2006/relationships" r:id="rId22" tooltip="Cone"/>
        </xdr:cNvPr>
        <xdr:cNvPicPr>
          <a:picLocks noChangeAspect="1" noChangeArrowheads="1"/>
        </xdr:cNvPicPr>
      </xdr:nvPicPr>
      <xdr:blipFill>
        <a:blip xmlns:r="http://schemas.openxmlformats.org/officeDocument/2006/relationships" r:embed="rId23" cstate="print"/>
        <a:srcRect/>
        <a:stretch>
          <a:fillRect/>
        </a:stretch>
      </xdr:blipFill>
      <xdr:spPr bwMode="auto">
        <a:xfrm>
          <a:off x="3219450" y="1504950"/>
          <a:ext cx="266700" cy="466725"/>
        </a:xfrm>
        <a:prstGeom prst="rect">
          <a:avLst/>
        </a:prstGeom>
        <a:noFill/>
        <a:ln w="9525">
          <a:noFill/>
          <a:miter lim="800000"/>
          <a:headEnd/>
          <a:tailEnd/>
        </a:ln>
      </xdr:spPr>
    </xdr:pic>
    <xdr:clientData/>
  </xdr:twoCellAnchor>
  <xdr:twoCellAnchor editAs="oneCell">
    <xdr:from>
      <xdr:col>4</xdr:col>
      <xdr:colOff>447675</xdr:colOff>
      <xdr:row>6</xdr:row>
      <xdr:rowOff>142875</xdr:rowOff>
    </xdr:from>
    <xdr:to>
      <xdr:col>4</xdr:col>
      <xdr:colOff>723900</xdr:colOff>
      <xdr:row>6</xdr:row>
      <xdr:rowOff>457200</xdr:rowOff>
    </xdr:to>
    <xdr:pic>
      <xdr:nvPicPr>
        <xdr:cNvPr id="51334" name="Picture 29">
          <a:hlinkClick xmlns:r="http://schemas.openxmlformats.org/officeDocument/2006/relationships" r:id="rId24" tooltip="Fustum of a Cone"/>
        </xdr:cNvPr>
        <xdr:cNvPicPr>
          <a:picLocks noChangeAspect="1" noChangeArrowheads="1"/>
        </xdr:cNvPicPr>
      </xdr:nvPicPr>
      <xdr:blipFill>
        <a:blip xmlns:r="http://schemas.openxmlformats.org/officeDocument/2006/relationships" r:embed="rId25" cstate="print"/>
        <a:srcRect/>
        <a:stretch>
          <a:fillRect/>
        </a:stretch>
      </xdr:blipFill>
      <xdr:spPr bwMode="auto">
        <a:xfrm>
          <a:off x="4438650" y="1619250"/>
          <a:ext cx="276225" cy="314325"/>
        </a:xfrm>
        <a:prstGeom prst="rect">
          <a:avLst/>
        </a:prstGeom>
        <a:noFill/>
        <a:ln w="9525">
          <a:noFill/>
          <a:miter lim="800000"/>
          <a:headEnd/>
          <a:tailEnd/>
        </a:ln>
      </xdr:spPr>
    </xdr:pic>
    <xdr:clientData/>
  </xdr:twoCellAnchor>
  <xdr:twoCellAnchor editAs="oneCell">
    <xdr:from>
      <xdr:col>5</xdr:col>
      <xdr:colOff>447675</xdr:colOff>
      <xdr:row>3</xdr:row>
      <xdr:rowOff>142875</xdr:rowOff>
    </xdr:from>
    <xdr:to>
      <xdr:col>5</xdr:col>
      <xdr:colOff>800100</xdr:colOff>
      <xdr:row>3</xdr:row>
      <xdr:rowOff>485775</xdr:rowOff>
    </xdr:to>
    <xdr:pic>
      <xdr:nvPicPr>
        <xdr:cNvPr id="51335" name="Picture 30">
          <a:hlinkClick xmlns:r="http://schemas.openxmlformats.org/officeDocument/2006/relationships" r:id="rId26" tooltip="Sphere"/>
        </xdr:cNvPr>
        <xdr:cNvPicPr>
          <a:picLocks noChangeAspect="1" noChangeArrowheads="1"/>
        </xdr:cNvPicPr>
      </xdr:nvPicPr>
      <xdr:blipFill>
        <a:blip xmlns:r="http://schemas.openxmlformats.org/officeDocument/2006/relationships" r:embed="rId27" cstate="print"/>
        <a:srcRect/>
        <a:stretch>
          <a:fillRect/>
        </a:stretch>
      </xdr:blipFill>
      <xdr:spPr bwMode="auto">
        <a:xfrm>
          <a:off x="5686425" y="771525"/>
          <a:ext cx="352425" cy="342900"/>
        </a:xfrm>
        <a:prstGeom prst="rect">
          <a:avLst/>
        </a:prstGeom>
        <a:noFill/>
        <a:ln w="9525">
          <a:noFill/>
          <a:miter lim="800000"/>
          <a:headEnd/>
          <a:tailEnd/>
        </a:ln>
      </xdr:spPr>
    </xdr:pic>
    <xdr:clientData/>
  </xdr:twoCellAnchor>
  <xdr:twoCellAnchor editAs="oneCell">
    <xdr:from>
      <xdr:col>3</xdr:col>
      <xdr:colOff>990600</xdr:colOff>
      <xdr:row>19</xdr:row>
      <xdr:rowOff>95250</xdr:rowOff>
    </xdr:from>
    <xdr:to>
      <xdr:col>4</xdr:col>
      <xdr:colOff>142875</xdr:colOff>
      <xdr:row>21</xdr:row>
      <xdr:rowOff>85725</xdr:rowOff>
    </xdr:to>
    <xdr:pic>
      <xdr:nvPicPr>
        <xdr:cNvPr id="51336" name="Picture 31">
          <a:hlinkClick xmlns:r="http://schemas.openxmlformats.org/officeDocument/2006/relationships" r:id="rId28" tooltip="Valve Bonne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3733800" y="4438650"/>
          <a:ext cx="400050" cy="352425"/>
        </a:xfrm>
        <a:prstGeom prst="rect">
          <a:avLst/>
        </a:prstGeom>
        <a:noFill/>
        <a:ln w="9525">
          <a:noFill/>
          <a:miter lim="800000"/>
          <a:headEnd/>
          <a:tailEnd/>
        </a:ln>
      </xdr:spPr>
    </xdr:pic>
    <xdr:clientData/>
  </xdr:twoCellAnchor>
  <xdr:twoCellAnchor editAs="oneCell">
    <xdr:from>
      <xdr:col>1</xdr:col>
      <xdr:colOff>1000125</xdr:colOff>
      <xdr:row>19</xdr:row>
      <xdr:rowOff>76200</xdr:rowOff>
    </xdr:from>
    <xdr:to>
      <xdr:col>2</xdr:col>
      <xdr:colOff>523875</xdr:colOff>
      <xdr:row>22</xdr:row>
      <xdr:rowOff>0</xdr:rowOff>
    </xdr:to>
    <xdr:pic>
      <xdr:nvPicPr>
        <xdr:cNvPr id="51337" name="Picture 32">
          <a:hlinkClick xmlns:r="http://schemas.openxmlformats.org/officeDocument/2006/relationships" r:id="rId30" tooltip="Motors"/>
        </xdr:cNvPr>
        <xdr:cNvPicPr>
          <a:picLocks noChangeAspect="1" noChangeArrowheads="1"/>
        </xdr:cNvPicPr>
      </xdr:nvPicPr>
      <xdr:blipFill>
        <a:blip xmlns:r="http://schemas.openxmlformats.org/officeDocument/2006/relationships" r:embed="rId31" cstate="print"/>
        <a:srcRect/>
        <a:stretch>
          <a:fillRect/>
        </a:stretch>
      </xdr:blipFill>
      <xdr:spPr bwMode="auto">
        <a:xfrm>
          <a:off x="1247775" y="4419600"/>
          <a:ext cx="771525" cy="447675"/>
        </a:xfrm>
        <a:prstGeom prst="rect">
          <a:avLst/>
        </a:prstGeom>
        <a:noFill/>
        <a:ln w="9525">
          <a:noFill/>
          <a:miter lim="800000"/>
          <a:headEnd/>
          <a:tailEnd/>
        </a:ln>
      </xdr:spPr>
    </xdr:pic>
    <xdr:clientData/>
  </xdr:twoCellAnchor>
  <xdr:twoCellAnchor editAs="oneCell">
    <xdr:from>
      <xdr:col>4</xdr:col>
      <xdr:colOff>495300</xdr:colOff>
      <xdr:row>19</xdr:row>
      <xdr:rowOff>66675</xdr:rowOff>
    </xdr:from>
    <xdr:to>
      <xdr:col>4</xdr:col>
      <xdr:colOff>1152525</xdr:colOff>
      <xdr:row>21</xdr:row>
      <xdr:rowOff>66675</xdr:rowOff>
    </xdr:to>
    <xdr:pic>
      <xdr:nvPicPr>
        <xdr:cNvPr id="51338" name="Picture 33">
          <a:hlinkClick xmlns:r="http://schemas.openxmlformats.org/officeDocument/2006/relationships" r:id="rId32" tooltip="Pump upper casing"/>
        </xdr:cNvPr>
        <xdr:cNvPicPr>
          <a:picLocks noChangeAspect="1" noChangeArrowheads="1"/>
        </xdr:cNvPicPr>
      </xdr:nvPicPr>
      <xdr:blipFill>
        <a:blip xmlns:r="http://schemas.openxmlformats.org/officeDocument/2006/relationships" r:embed="rId33" cstate="print"/>
        <a:srcRect/>
        <a:stretch>
          <a:fillRect/>
        </a:stretch>
      </xdr:blipFill>
      <xdr:spPr bwMode="auto">
        <a:xfrm>
          <a:off x="4486275" y="4410075"/>
          <a:ext cx="657225" cy="361950"/>
        </a:xfrm>
        <a:prstGeom prst="rect">
          <a:avLst/>
        </a:prstGeom>
        <a:noFill/>
        <a:ln w="9525">
          <a:noFill/>
          <a:miter lim="800000"/>
          <a:headEnd/>
          <a:tailEnd/>
        </a:ln>
      </xdr:spPr>
    </xdr:pic>
    <xdr:clientData/>
  </xdr:twoCellAnchor>
  <xdr:twoCellAnchor editAs="absolute">
    <xdr:from>
      <xdr:col>5</xdr:col>
      <xdr:colOff>457200</xdr:colOff>
      <xdr:row>0</xdr:row>
      <xdr:rowOff>57150</xdr:rowOff>
    </xdr:from>
    <xdr:to>
      <xdr:col>5</xdr:col>
      <xdr:colOff>685800</xdr:colOff>
      <xdr:row>1</xdr:row>
      <xdr:rowOff>123825</xdr:rowOff>
    </xdr:to>
    <xdr:pic>
      <xdr:nvPicPr>
        <xdr:cNvPr id="51339" name="Picture 34" descr="Code Information">
          <a:hlinkClick xmlns:r="http://schemas.openxmlformats.org/officeDocument/2006/relationships" r:id="rId34" tooltip="Code Information"/>
        </xdr:cNvPr>
        <xdr:cNvPicPr>
          <a:picLocks noChangeAspect="1" noChangeArrowheads="1"/>
        </xdr:cNvPicPr>
      </xdr:nvPicPr>
      <xdr:blipFill>
        <a:blip xmlns:r="http://schemas.openxmlformats.org/officeDocument/2006/relationships" r:embed="rId35" cstate="print"/>
        <a:srcRect/>
        <a:stretch>
          <a:fillRect/>
        </a:stretch>
      </xdr:blipFill>
      <xdr:spPr bwMode="auto">
        <a:xfrm>
          <a:off x="5695950" y="57150"/>
          <a:ext cx="228600" cy="228600"/>
        </a:xfrm>
        <a:prstGeom prst="rect">
          <a:avLst/>
        </a:prstGeom>
        <a:noFill/>
        <a:ln w="9525">
          <a:noFill/>
          <a:miter lim="800000"/>
          <a:headEnd/>
          <a:tailEnd/>
        </a:ln>
      </xdr:spPr>
    </xdr:pic>
    <xdr:clientData fPrintsWithSheet="0"/>
  </xdr:twoCellAnchor>
  <xdr:twoCellAnchor editAs="absolute">
    <xdr:from>
      <xdr:col>5</xdr:col>
      <xdr:colOff>714375</xdr:colOff>
      <xdr:row>0</xdr:row>
      <xdr:rowOff>57150</xdr:rowOff>
    </xdr:from>
    <xdr:to>
      <xdr:col>5</xdr:col>
      <xdr:colOff>942975</xdr:colOff>
      <xdr:row>1</xdr:row>
      <xdr:rowOff>123825</xdr:rowOff>
    </xdr:to>
    <xdr:pic>
      <xdr:nvPicPr>
        <xdr:cNvPr id="51340" name="Picture 35" descr="help">
          <a:hlinkClick xmlns:r="http://schemas.openxmlformats.org/officeDocument/2006/relationships" r:id="rId36" tooltip="Help"/>
        </xdr:cNvPr>
        <xdr:cNvPicPr>
          <a:picLocks noChangeAspect="1" noChangeArrowheads="1"/>
        </xdr:cNvPicPr>
      </xdr:nvPicPr>
      <xdr:blipFill>
        <a:blip xmlns:r="http://schemas.openxmlformats.org/officeDocument/2006/relationships" r:embed="rId37" cstate="print"/>
        <a:srcRect/>
        <a:stretch>
          <a:fillRect/>
        </a:stretch>
      </xdr:blipFill>
      <xdr:spPr bwMode="auto">
        <a:xfrm>
          <a:off x="5953125" y="57150"/>
          <a:ext cx="228600" cy="228600"/>
        </a:xfrm>
        <a:prstGeom prst="rect">
          <a:avLst/>
        </a:prstGeom>
        <a:noFill/>
        <a:ln w="9525">
          <a:noFill/>
          <a:miter lim="800000"/>
          <a:headEnd/>
          <a:tailEnd/>
        </a:ln>
      </xdr:spPr>
    </xdr:pic>
    <xdr:clientData fPrintsWithSheet="0"/>
  </xdr:twoCellAnchor>
  <xdr:twoCellAnchor editAs="absolute">
    <xdr:from>
      <xdr:col>5</xdr:col>
      <xdr:colOff>981075</xdr:colOff>
      <xdr:row>0</xdr:row>
      <xdr:rowOff>57150</xdr:rowOff>
    </xdr:from>
    <xdr:to>
      <xdr:col>5</xdr:col>
      <xdr:colOff>1209675</xdr:colOff>
      <xdr:row>1</xdr:row>
      <xdr:rowOff>123825</xdr:rowOff>
    </xdr:to>
    <xdr:pic>
      <xdr:nvPicPr>
        <xdr:cNvPr id="51341" name="Picture 36" descr="star">
          <a:hlinkClick xmlns:r="http://schemas.openxmlformats.org/officeDocument/2006/relationships" r:id="rId38" tooltip="Conversions"/>
        </xdr:cNvPr>
        <xdr:cNvPicPr>
          <a:picLocks noChangeAspect="1" noChangeArrowheads="1"/>
        </xdr:cNvPicPr>
      </xdr:nvPicPr>
      <xdr:blipFill>
        <a:blip xmlns:r="http://schemas.openxmlformats.org/officeDocument/2006/relationships" r:embed="rId39" cstate="print"/>
        <a:srcRect/>
        <a:stretch>
          <a:fillRect/>
        </a:stretch>
      </xdr:blipFill>
      <xdr:spPr bwMode="auto">
        <a:xfrm>
          <a:off x="6219825" y="57150"/>
          <a:ext cx="228600" cy="228600"/>
        </a:xfrm>
        <a:prstGeom prst="rect">
          <a:avLst/>
        </a:prstGeom>
        <a:noFill/>
        <a:ln w="9525">
          <a:noFill/>
          <a:miter lim="800000"/>
          <a:headEnd/>
          <a:tailEnd/>
        </a:ln>
      </xdr:spPr>
    </xdr:pic>
    <xdr:clientData fPrintsWithSheet="0"/>
  </xdr:twoCellAnchor>
</xdr:wsDr>
</file>

<file path=xl/drawings/drawing50.xml><?xml version="1.0" encoding="utf-8"?>
<xdr:wsDr xmlns:xdr="http://schemas.openxmlformats.org/drawingml/2006/spreadsheetDrawing" xmlns:a="http://schemas.openxmlformats.org/drawingml/2006/main">
  <xdr:twoCellAnchor editAs="absolute">
    <xdr:from>
      <xdr:col>0</xdr:col>
      <xdr:colOff>66675</xdr:colOff>
      <xdr:row>0</xdr:row>
      <xdr:rowOff>66675</xdr:rowOff>
    </xdr:from>
    <xdr:to>
      <xdr:col>1</xdr:col>
      <xdr:colOff>352425</xdr:colOff>
      <xdr:row>1</xdr:row>
      <xdr:rowOff>133350</xdr:rowOff>
    </xdr:to>
    <xdr:pic>
      <xdr:nvPicPr>
        <xdr:cNvPr id="76836" name="Picture 1">
          <a:hlinkClick xmlns:r="http://schemas.openxmlformats.org/officeDocument/2006/relationships" r:id="rId1" tooltip="Return to Main Menu"/>
        </xdr:cNvPr>
        <xdr:cNvPicPr>
          <a:picLocks noChangeAspect="1" noChangeArrowheads="1"/>
        </xdr:cNvPicPr>
      </xdr:nvPicPr>
      <xdr:blipFill>
        <a:blip xmlns:r="http://schemas.openxmlformats.org/officeDocument/2006/relationships" r:embed="rId2" cstate="print"/>
        <a:srcRect/>
        <a:stretch>
          <a:fillRect/>
        </a:stretch>
      </xdr:blipFill>
      <xdr:spPr bwMode="auto">
        <a:xfrm>
          <a:off x="66675" y="66675"/>
          <a:ext cx="895350" cy="228600"/>
        </a:xfrm>
        <a:prstGeom prst="rect">
          <a:avLst/>
        </a:prstGeom>
        <a:noFill/>
        <a:ln w="9525">
          <a:noFill/>
          <a:miter lim="800000"/>
          <a:headEnd/>
          <a:tailEnd/>
        </a:ln>
      </xdr:spPr>
    </xdr:pic>
    <xdr:clientData fLocksWithSheet="0" fPrintsWithSheet="0"/>
  </xdr:twoCellAnchor>
  <xdr:twoCellAnchor editAs="absolute">
    <xdr:from>
      <xdr:col>0</xdr:col>
      <xdr:colOff>66675</xdr:colOff>
      <xdr:row>1</xdr:row>
      <xdr:rowOff>133350</xdr:rowOff>
    </xdr:from>
    <xdr:to>
      <xdr:col>1</xdr:col>
      <xdr:colOff>352425</xdr:colOff>
      <xdr:row>3</xdr:row>
      <xdr:rowOff>38100</xdr:rowOff>
    </xdr:to>
    <xdr:pic>
      <xdr:nvPicPr>
        <xdr:cNvPr id="76837" name="Picture 2">
          <a:hlinkClick xmlns:r="http://schemas.openxmlformats.org/officeDocument/2006/relationships" r:id="rId3" tooltip="Go To Master Index"/>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295275"/>
          <a:ext cx="895350" cy="228600"/>
        </a:xfrm>
        <a:prstGeom prst="rect">
          <a:avLst/>
        </a:prstGeom>
        <a:noFill/>
        <a:ln w="9525">
          <a:noFill/>
          <a:miter lim="800000"/>
          <a:headEnd/>
          <a:tailEnd/>
        </a:ln>
      </xdr:spPr>
    </xdr:pic>
    <xdr:clientData fLocksWithSheet="0" fPrintsWithSheet="0"/>
  </xdr:twoCellAnchor>
  <xdr:twoCellAnchor editAs="absolute">
    <xdr:from>
      <xdr:col>0</xdr:col>
      <xdr:colOff>66675</xdr:colOff>
      <xdr:row>3</xdr:row>
      <xdr:rowOff>76200</xdr:rowOff>
    </xdr:from>
    <xdr:to>
      <xdr:col>1</xdr:col>
      <xdr:colOff>352425</xdr:colOff>
      <xdr:row>4</xdr:row>
      <xdr:rowOff>142875</xdr:rowOff>
    </xdr:to>
    <xdr:pic>
      <xdr:nvPicPr>
        <xdr:cNvPr id="76838" name="Picture 3">
          <a:hlinkClick xmlns:r="http://schemas.openxmlformats.org/officeDocument/2006/relationships" r:id="rId5" tooltip="Go To Weights Menu"/>
        </xdr:cNvPr>
        <xdr:cNvPicPr>
          <a:picLocks noChangeAspect="1" noChangeArrowheads="1"/>
        </xdr:cNvPicPr>
      </xdr:nvPicPr>
      <xdr:blipFill>
        <a:blip xmlns:r="http://schemas.openxmlformats.org/officeDocument/2006/relationships" r:embed="rId6" cstate="print"/>
        <a:srcRect/>
        <a:stretch>
          <a:fillRect/>
        </a:stretch>
      </xdr:blipFill>
      <xdr:spPr bwMode="auto">
        <a:xfrm>
          <a:off x="66675" y="561975"/>
          <a:ext cx="895350" cy="228600"/>
        </a:xfrm>
        <a:prstGeom prst="rect">
          <a:avLst/>
        </a:prstGeom>
        <a:noFill/>
        <a:ln w="9525">
          <a:noFill/>
          <a:miter lim="800000"/>
          <a:headEnd/>
          <a:tailEnd/>
        </a:ln>
      </xdr:spPr>
    </xdr:pic>
    <xdr:clientData fLocksWithSheet="0" fPrintsWithSheet="0"/>
  </xdr:twoCellAnchor>
  <xdr:twoCellAnchor editAs="absolute">
    <xdr:from>
      <xdr:col>0</xdr:col>
      <xdr:colOff>66675</xdr:colOff>
      <xdr:row>4</xdr:row>
      <xdr:rowOff>133350</xdr:rowOff>
    </xdr:from>
    <xdr:to>
      <xdr:col>1</xdr:col>
      <xdr:colOff>352425</xdr:colOff>
      <xdr:row>6</xdr:row>
      <xdr:rowOff>38100</xdr:rowOff>
    </xdr:to>
    <xdr:pic>
      <xdr:nvPicPr>
        <xdr:cNvPr id="76839" name="Picture 4">
          <a:hlinkClick xmlns:r="http://schemas.openxmlformats.org/officeDocument/2006/relationships" r:id="rId7" tooltip="Go To Tensions Menu"/>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781050"/>
          <a:ext cx="895350" cy="228600"/>
        </a:xfrm>
        <a:prstGeom prst="rect">
          <a:avLst/>
        </a:prstGeom>
        <a:noFill/>
        <a:ln w="9525">
          <a:noFill/>
          <a:miter lim="800000"/>
          <a:headEnd/>
          <a:tailEnd/>
        </a:ln>
      </xdr:spPr>
    </xdr:pic>
    <xdr:clientData fLocksWithSheet="0" fPrintsWithSheet="0"/>
  </xdr:twoCellAnchor>
  <xdr:twoCellAnchor editAs="absolute">
    <xdr:from>
      <xdr:col>0</xdr:col>
      <xdr:colOff>66675</xdr:colOff>
      <xdr:row>6</xdr:row>
      <xdr:rowOff>47625</xdr:rowOff>
    </xdr:from>
    <xdr:to>
      <xdr:col>1</xdr:col>
      <xdr:colOff>352425</xdr:colOff>
      <xdr:row>7</xdr:row>
      <xdr:rowOff>114300</xdr:rowOff>
    </xdr:to>
    <xdr:pic>
      <xdr:nvPicPr>
        <xdr:cNvPr id="76840" name="Picture 5">
          <a:hlinkClick xmlns:r="http://schemas.openxmlformats.org/officeDocument/2006/relationships" r:id="rId9" tooltip="Go To Equipment Menu"/>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1019175"/>
          <a:ext cx="895350" cy="228600"/>
        </a:xfrm>
        <a:prstGeom prst="rect">
          <a:avLst/>
        </a:prstGeom>
        <a:noFill/>
        <a:ln w="9525">
          <a:noFill/>
          <a:miter lim="800000"/>
          <a:headEnd/>
          <a:tailEnd/>
        </a:ln>
      </xdr:spPr>
    </xdr:pic>
    <xdr:clientData fLocksWithSheet="0" fPrintsWithSheet="0"/>
  </xdr:twoCellAnchor>
  <xdr:twoCellAnchor editAs="absolute">
    <xdr:from>
      <xdr:col>0</xdr:col>
      <xdr:colOff>114300</xdr:colOff>
      <xdr:row>7</xdr:row>
      <xdr:rowOff>133350</xdr:rowOff>
    </xdr:from>
    <xdr:to>
      <xdr:col>0</xdr:col>
      <xdr:colOff>342900</xdr:colOff>
      <xdr:row>9</xdr:row>
      <xdr:rowOff>38100</xdr:rowOff>
    </xdr:to>
    <xdr:pic>
      <xdr:nvPicPr>
        <xdr:cNvPr id="76841" name="Picture 6" descr="Code Information">
          <a:hlinkClick xmlns:r="http://schemas.openxmlformats.org/officeDocument/2006/relationships" r:id="rId11" tooltip="Code Information"/>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14300" y="1266825"/>
          <a:ext cx="228600" cy="228600"/>
        </a:xfrm>
        <a:prstGeom prst="rect">
          <a:avLst/>
        </a:prstGeom>
        <a:noFill/>
        <a:ln w="9525">
          <a:noFill/>
          <a:miter lim="800000"/>
          <a:headEnd/>
          <a:tailEnd/>
        </a:ln>
      </xdr:spPr>
    </xdr:pic>
    <xdr:clientData fLocksWithSheet="0" fPrintsWithSheet="0"/>
  </xdr:twoCellAnchor>
  <xdr:twoCellAnchor editAs="absolute">
    <xdr:from>
      <xdr:col>0</xdr:col>
      <xdr:colOff>371475</xdr:colOff>
      <xdr:row>7</xdr:row>
      <xdr:rowOff>133350</xdr:rowOff>
    </xdr:from>
    <xdr:to>
      <xdr:col>0</xdr:col>
      <xdr:colOff>600075</xdr:colOff>
      <xdr:row>9</xdr:row>
      <xdr:rowOff>38100</xdr:rowOff>
    </xdr:to>
    <xdr:pic>
      <xdr:nvPicPr>
        <xdr:cNvPr id="76842" name="Picture 7" descr="help">
          <a:hlinkClick xmlns:r="http://schemas.openxmlformats.org/officeDocument/2006/relationships" r:id="rId13" tooltip="Help"/>
        </xdr:cNvPr>
        <xdr:cNvPicPr>
          <a:picLocks noChangeAspect="1" noChangeArrowheads="1"/>
        </xdr:cNvPicPr>
      </xdr:nvPicPr>
      <xdr:blipFill>
        <a:blip xmlns:r="http://schemas.openxmlformats.org/officeDocument/2006/relationships" r:embed="rId14" cstate="print"/>
        <a:srcRect/>
        <a:stretch>
          <a:fillRect/>
        </a:stretch>
      </xdr:blipFill>
      <xdr:spPr bwMode="auto">
        <a:xfrm>
          <a:off x="371475" y="1266825"/>
          <a:ext cx="228600" cy="228600"/>
        </a:xfrm>
        <a:prstGeom prst="rect">
          <a:avLst/>
        </a:prstGeom>
        <a:noFill/>
        <a:ln w="9525">
          <a:noFill/>
          <a:miter lim="800000"/>
          <a:headEnd/>
          <a:tailEnd/>
        </a:ln>
      </xdr:spPr>
    </xdr:pic>
    <xdr:clientData fLocksWithSheet="0" fPrintsWithSheet="0"/>
  </xdr:twoCellAnchor>
</xdr:wsDr>
</file>

<file path=xl/drawings/drawing51.xml><?xml version="1.0" encoding="utf-8"?>
<xdr:wsDr xmlns:xdr="http://schemas.openxmlformats.org/drawingml/2006/spreadsheetDrawing" xmlns:a="http://schemas.openxmlformats.org/drawingml/2006/main">
  <xdr:twoCellAnchor editAs="absolute">
    <xdr:from>
      <xdr:col>7</xdr:col>
      <xdr:colOff>447675</xdr:colOff>
      <xdr:row>3</xdr:row>
      <xdr:rowOff>19050</xdr:rowOff>
    </xdr:from>
    <xdr:to>
      <xdr:col>8</xdr:col>
      <xdr:colOff>361950</xdr:colOff>
      <xdr:row>4</xdr:row>
      <xdr:rowOff>76200</xdr:rowOff>
    </xdr:to>
    <xdr:pic>
      <xdr:nvPicPr>
        <xdr:cNvPr id="75794" name="Picture 2">
          <a:hlinkClick xmlns:r="http://schemas.openxmlformats.org/officeDocument/2006/relationships" r:id="rId1" tooltip="Home"/>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95850" y="523875"/>
          <a:ext cx="781050" cy="228600"/>
        </a:xfrm>
        <a:prstGeom prst="rect">
          <a:avLst/>
        </a:prstGeom>
        <a:noFill/>
        <a:ln w="9525">
          <a:noFill/>
          <a:miter lim="800000"/>
          <a:headEnd/>
          <a:tailEnd/>
        </a:ln>
      </xdr:spPr>
    </xdr:pic>
    <xdr:clientData fPrintsWithSheet="0"/>
  </xdr:twoCellAnchor>
  <xdr:twoCellAnchor editAs="absolute">
    <xdr:from>
      <xdr:col>7</xdr:col>
      <xdr:colOff>457200</xdr:colOff>
      <xdr:row>4</xdr:row>
      <xdr:rowOff>76200</xdr:rowOff>
    </xdr:from>
    <xdr:to>
      <xdr:col>8</xdr:col>
      <xdr:colOff>371475</xdr:colOff>
      <xdr:row>5</xdr:row>
      <xdr:rowOff>133350</xdr:rowOff>
    </xdr:to>
    <xdr:pic>
      <xdr:nvPicPr>
        <xdr:cNvPr id="75795" name="Picture 3">
          <a:hlinkClick xmlns:r="http://schemas.openxmlformats.org/officeDocument/2006/relationships" r:id="rId3" tooltip="Master Index"/>
        </xdr:cNvPr>
        <xdr:cNvPicPr>
          <a:picLocks noChangeAspect="1" noChangeArrowheads="1"/>
        </xdr:cNvPicPr>
      </xdr:nvPicPr>
      <xdr:blipFill>
        <a:blip xmlns:r="http://schemas.openxmlformats.org/officeDocument/2006/relationships" r:embed="rId4" cstate="print"/>
        <a:srcRect/>
        <a:stretch>
          <a:fillRect/>
        </a:stretch>
      </xdr:blipFill>
      <xdr:spPr bwMode="auto">
        <a:xfrm>
          <a:off x="4905375" y="752475"/>
          <a:ext cx="781050" cy="228600"/>
        </a:xfrm>
        <a:prstGeom prst="rect">
          <a:avLst/>
        </a:prstGeom>
        <a:noFill/>
        <a:ln w="9525">
          <a:noFill/>
          <a:miter lim="800000"/>
          <a:headEnd/>
          <a:tailEnd/>
        </a:ln>
      </xdr:spPr>
    </xdr:pic>
    <xdr:clientData fPrintsWithSheet="0"/>
  </xdr:twoCellAnchor>
  <xdr:twoCellAnchor editAs="oneCell">
    <xdr:from>
      <xdr:col>7</xdr:col>
      <xdr:colOff>447675</xdr:colOff>
      <xdr:row>6</xdr:row>
      <xdr:rowOff>28575</xdr:rowOff>
    </xdr:from>
    <xdr:to>
      <xdr:col>8</xdr:col>
      <xdr:colOff>409575</xdr:colOff>
      <xdr:row>7</xdr:row>
      <xdr:rowOff>66675</xdr:rowOff>
    </xdr:to>
    <xdr:pic>
      <xdr:nvPicPr>
        <xdr:cNvPr id="75796" name="Picture 4" descr="buy_now">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4895850" y="1047750"/>
          <a:ext cx="828675" cy="2095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28575</xdr:colOff>
      <xdr:row>8</xdr:row>
      <xdr:rowOff>114300</xdr:rowOff>
    </xdr:from>
    <xdr:to>
      <xdr:col>7</xdr:col>
      <xdr:colOff>571500</xdr:colOff>
      <xdr:row>10</xdr:row>
      <xdr:rowOff>142875</xdr:rowOff>
    </xdr:to>
    <xdr:sp macro="" textlink="">
      <xdr:nvSpPr>
        <xdr:cNvPr id="52225" name="Text Box 1"/>
        <xdr:cNvSpPr txBox="1">
          <a:spLocks noChangeArrowheads="1"/>
        </xdr:cNvSpPr>
      </xdr:nvSpPr>
      <xdr:spPr bwMode="auto">
        <a:xfrm>
          <a:off x="276225" y="4543425"/>
          <a:ext cx="7038975" cy="352425"/>
        </a:xfrm>
        <a:prstGeom prst="rect">
          <a:avLst/>
        </a:prstGeom>
        <a:solidFill>
          <a:srgbClr val="FFCC99"/>
        </a:solidFill>
        <a:ln w="9525">
          <a:solidFill>
            <a:srgbClr val="000000"/>
          </a:solidFill>
          <a:miter lim="800000"/>
          <a:headEnd/>
          <a:tailEnd/>
        </a:ln>
      </xdr:spPr>
      <xdr:txBody>
        <a:bodyPr vertOverflow="clip" wrap="square" lIns="27432" tIns="22860" rIns="27432" bIns="0" anchor="t" upright="1"/>
        <a:lstStyle/>
        <a:p>
          <a:pPr algn="ctr" rtl="0">
            <a:defRPr sz="1000"/>
          </a:pPr>
          <a:r>
            <a:rPr lang="en-GB" sz="1000" b="1" i="0" u="none" strike="noStrike" baseline="0">
              <a:solidFill>
                <a:srgbClr val="000000"/>
              </a:solidFill>
              <a:latin typeface="Arial"/>
              <a:cs typeface="Arial"/>
            </a:rPr>
            <a:t>THESE WORKSHEETS ARE MATHEMATICAL TOOLS ONLY. ALL CALCULATIONS AND DECISIONS ARE THE RESPONSIBILITY OF A QUALIFIED PERSON.</a:t>
          </a:r>
        </a:p>
      </xdr:txBody>
    </xdr:sp>
    <xdr:clientData/>
  </xdr:twoCellAnchor>
  <xdr:twoCellAnchor editAs="absolute">
    <xdr:from>
      <xdr:col>1</xdr:col>
      <xdr:colOff>19050</xdr:colOff>
      <xdr:row>0</xdr:row>
      <xdr:rowOff>66675</xdr:rowOff>
    </xdr:from>
    <xdr:to>
      <xdr:col>1</xdr:col>
      <xdr:colOff>800100</xdr:colOff>
      <xdr:row>1</xdr:row>
      <xdr:rowOff>133350</xdr:rowOff>
    </xdr:to>
    <xdr:pic>
      <xdr:nvPicPr>
        <xdr:cNvPr id="52333" name="Picture 21">
          <a:hlinkClick xmlns:r="http://schemas.openxmlformats.org/officeDocument/2006/relationships" r:id="rId1" tooltip="Home"/>
        </xdr:cNvPr>
        <xdr:cNvPicPr>
          <a:picLocks noChangeAspect="1" noChangeArrowheads="1"/>
        </xdr:cNvPicPr>
      </xdr:nvPicPr>
      <xdr:blipFill>
        <a:blip xmlns:r="http://schemas.openxmlformats.org/officeDocument/2006/relationships" r:embed="rId2" cstate="print"/>
        <a:srcRect/>
        <a:stretch>
          <a:fillRect/>
        </a:stretch>
      </xdr:blipFill>
      <xdr:spPr bwMode="auto">
        <a:xfrm>
          <a:off x="266700" y="66675"/>
          <a:ext cx="781050" cy="228600"/>
        </a:xfrm>
        <a:prstGeom prst="rect">
          <a:avLst/>
        </a:prstGeom>
        <a:noFill/>
        <a:ln w="9525">
          <a:noFill/>
          <a:miter lim="800000"/>
          <a:headEnd/>
          <a:tailEnd/>
        </a:ln>
      </xdr:spPr>
    </xdr:pic>
    <xdr:clientData fPrintsWithSheet="0"/>
  </xdr:twoCellAnchor>
  <xdr:twoCellAnchor editAs="absolute">
    <xdr:from>
      <xdr:col>1</xdr:col>
      <xdr:colOff>838200</xdr:colOff>
      <xdr:row>0</xdr:row>
      <xdr:rowOff>66675</xdr:rowOff>
    </xdr:from>
    <xdr:to>
      <xdr:col>2</xdr:col>
      <xdr:colOff>276225</xdr:colOff>
      <xdr:row>1</xdr:row>
      <xdr:rowOff>133350</xdr:rowOff>
    </xdr:to>
    <xdr:pic>
      <xdr:nvPicPr>
        <xdr:cNvPr id="52334" name="Picture 22">
          <a:hlinkClick xmlns:r="http://schemas.openxmlformats.org/officeDocument/2006/relationships" r:id="rId3" tooltip="Master Index"/>
        </xdr:cNvPr>
        <xdr:cNvPicPr>
          <a:picLocks noChangeAspect="1" noChangeArrowheads="1"/>
        </xdr:cNvPicPr>
      </xdr:nvPicPr>
      <xdr:blipFill>
        <a:blip xmlns:r="http://schemas.openxmlformats.org/officeDocument/2006/relationships" r:embed="rId4" cstate="print"/>
        <a:srcRect/>
        <a:stretch>
          <a:fillRect/>
        </a:stretch>
      </xdr:blipFill>
      <xdr:spPr bwMode="auto">
        <a:xfrm>
          <a:off x="1085850" y="66675"/>
          <a:ext cx="781050" cy="228600"/>
        </a:xfrm>
        <a:prstGeom prst="rect">
          <a:avLst/>
        </a:prstGeom>
        <a:noFill/>
        <a:ln w="9525">
          <a:noFill/>
          <a:miter lim="800000"/>
          <a:headEnd/>
          <a:tailEnd/>
        </a:ln>
      </xdr:spPr>
    </xdr:pic>
    <xdr:clientData fPrintsWithSheet="0"/>
  </xdr:twoCellAnchor>
  <xdr:twoCellAnchor editAs="absolute">
    <xdr:from>
      <xdr:col>2</xdr:col>
      <xdr:colOff>485775</xdr:colOff>
      <xdr:row>0</xdr:row>
      <xdr:rowOff>66675</xdr:rowOff>
    </xdr:from>
    <xdr:to>
      <xdr:col>3</xdr:col>
      <xdr:colOff>38100</xdr:colOff>
      <xdr:row>1</xdr:row>
      <xdr:rowOff>133350</xdr:rowOff>
    </xdr:to>
    <xdr:pic>
      <xdr:nvPicPr>
        <xdr:cNvPr id="52335" name="Picture 23">
          <a:hlinkClick xmlns:r="http://schemas.openxmlformats.org/officeDocument/2006/relationships" r:id="rId5" tooltip="Weights Menu"/>
        </xdr:cNvPr>
        <xdr:cNvPicPr>
          <a:picLocks noChangeAspect="1" noChangeArrowheads="1"/>
        </xdr:cNvPicPr>
      </xdr:nvPicPr>
      <xdr:blipFill>
        <a:blip xmlns:r="http://schemas.openxmlformats.org/officeDocument/2006/relationships" r:embed="rId6" cstate="print"/>
        <a:srcRect/>
        <a:stretch>
          <a:fillRect/>
        </a:stretch>
      </xdr:blipFill>
      <xdr:spPr bwMode="auto">
        <a:xfrm>
          <a:off x="2076450" y="66675"/>
          <a:ext cx="781050" cy="228600"/>
        </a:xfrm>
        <a:prstGeom prst="rect">
          <a:avLst/>
        </a:prstGeom>
        <a:noFill/>
        <a:ln w="9525">
          <a:noFill/>
          <a:miter lim="800000"/>
          <a:headEnd/>
          <a:tailEnd/>
        </a:ln>
      </xdr:spPr>
    </xdr:pic>
    <xdr:clientData fPrintsWithSheet="0"/>
  </xdr:twoCellAnchor>
  <xdr:twoCellAnchor editAs="absolute">
    <xdr:from>
      <xdr:col>3</xdr:col>
      <xdr:colOff>76200</xdr:colOff>
      <xdr:row>0</xdr:row>
      <xdr:rowOff>66675</xdr:rowOff>
    </xdr:from>
    <xdr:to>
      <xdr:col>4</xdr:col>
      <xdr:colOff>676275</xdr:colOff>
      <xdr:row>1</xdr:row>
      <xdr:rowOff>133350</xdr:rowOff>
    </xdr:to>
    <xdr:pic>
      <xdr:nvPicPr>
        <xdr:cNvPr id="52336" name="Picture 24">
          <a:hlinkClick xmlns:r="http://schemas.openxmlformats.org/officeDocument/2006/relationships" r:id="rId7" tooltip="Tensions Menu"/>
        </xdr:cNvPr>
        <xdr:cNvPicPr>
          <a:picLocks noChangeAspect="1" noChangeArrowheads="1"/>
        </xdr:cNvPicPr>
      </xdr:nvPicPr>
      <xdr:blipFill>
        <a:blip xmlns:r="http://schemas.openxmlformats.org/officeDocument/2006/relationships" r:embed="rId8" cstate="print"/>
        <a:srcRect/>
        <a:stretch>
          <a:fillRect/>
        </a:stretch>
      </xdr:blipFill>
      <xdr:spPr bwMode="auto">
        <a:xfrm>
          <a:off x="2895600" y="66675"/>
          <a:ext cx="781050" cy="228600"/>
        </a:xfrm>
        <a:prstGeom prst="rect">
          <a:avLst/>
        </a:prstGeom>
        <a:noFill/>
        <a:ln w="9525">
          <a:noFill/>
          <a:miter lim="800000"/>
          <a:headEnd/>
          <a:tailEnd/>
        </a:ln>
      </xdr:spPr>
    </xdr:pic>
    <xdr:clientData fPrintsWithSheet="0"/>
  </xdr:twoCellAnchor>
  <xdr:twoCellAnchor editAs="absolute">
    <xdr:from>
      <xdr:col>2</xdr:col>
      <xdr:colOff>171450</xdr:colOff>
      <xdr:row>3</xdr:row>
      <xdr:rowOff>85725</xdr:rowOff>
    </xdr:from>
    <xdr:to>
      <xdr:col>2</xdr:col>
      <xdr:colOff>952500</xdr:colOff>
      <xdr:row>4</xdr:row>
      <xdr:rowOff>38100</xdr:rowOff>
    </xdr:to>
    <xdr:pic>
      <xdr:nvPicPr>
        <xdr:cNvPr id="52337" name="Picture 26">
          <a:hlinkClick xmlns:r="http://schemas.openxmlformats.org/officeDocument/2006/relationships" r:id="rId9" tooltip="Shackles"/>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762125" y="647700"/>
          <a:ext cx="781050" cy="742950"/>
        </a:xfrm>
        <a:prstGeom prst="rect">
          <a:avLst/>
        </a:prstGeom>
        <a:noFill/>
        <a:ln w="9525">
          <a:noFill/>
          <a:miter lim="800000"/>
          <a:headEnd/>
          <a:tailEnd/>
        </a:ln>
      </xdr:spPr>
    </xdr:pic>
    <xdr:clientData/>
  </xdr:twoCellAnchor>
  <xdr:twoCellAnchor editAs="absolute">
    <xdr:from>
      <xdr:col>2</xdr:col>
      <xdr:colOff>161925</xdr:colOff>
      <xdr:row>4</xdr:row>
      <xdr:rowOff>66675</xdr:rowOff>
    </xdr:from>
    <xdr:to>
      <xdr:col>2</xdr:col>
      <xdr:colOff>942975</xdr:colOff>
      <xdr:row>5</xdr:row>
      <xdr:rowOff>28575</xdr:rowOff>
    </xdr:to>
    <xdr:pic>
      <xdr:nvPicPr>
        <xdr:cNvPr id="52338" name="Picture 27">
          <a:hlinkClick xmlns:r="http://schemas.openxmlformats.org/officeDocument/2006/relationships" r:id="rId11" tooltip="Wide Body Shackles"/>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752600" y="1419225"/>
          <a:ext cx="781050" cy="733425"/>
        </a:xfrm>
        <a:prstGeom prst="rect">
          <a:avLst/>
        </a:prstGeom>
        <a:noFill/>
        <a:ln w="9525">
          <a:noFill/>
          <a:miter lim="800000"/>
          <a:headEnd/>
          <a:tailEnd/>
        </a:ln>
      </xdr:spPr>
    </xdr:pic>
    <xdr:clientData/>
  </xdr:twoCellAnchor>
  <xdr:twoCellAnchor editAs="absolute">
    <xdr:from>
      <xdr:col>2</xdr:col>
      <xdr:colOff>161925</xdr:colOff>
      <xdr:row>5</xdr:row>
      <xdr:rowOff>66675</xdr:rowOff>
    </xdr:from>
    <xdr:to>
      <xdr:col>2</xdr:col>
      <xdr:colOff>942975</xdr:colOff>
      <xdr:row>6</xdr:row>
      <xdr:rowOff>19050</xdr:rowOff>
    </xdr:to>
    <xdr:pic>
      <xdr:nvPicPr>
        <xdr:cNvPr id="52339" name="Picture 28">
          <a:hlinkClick xmlns:r="http://schemas.openxmlformats.org/officeDocument/2006/relationships" r:id="rId13" tooltip="Web &amp; Roundsling Shackles"/>
        </xdr:cNvPr>
        <xdr:cNvPicPr>
          <a:picLocks noChangeAspect="1" noChangeArrowheads="1"/>
        </xdr:cNvPicPr>
      </xdr:nvPicPr>
      <xdr:blipFill>
        <a:blip xmlns:r="http://schemas.openxmlformats.org/officeDocument/2006/relationships" r:embed="rId14" cstate="print"/>
        <a:srcRect/>
        <a:stretch>
          <a:fillRect/>
        </a:stretch>
      </xdr:blipFill>
      <xdr:spPr bwMode="auto">
        <a:xfrm>
          <a:off x="1752600" y="2190750"/>
          <a:ext cx="781050" cy="733425"/>
        </a:xfrm>
        <a:prstGeom prst="rect">
          <a:avLst/>
        </a:prstGeom>
        <a:noFill/>
        <a:ln w="9525">
          <a:noFill/>
          <a:miter lim="800000"/>
          <a:headEnd/>
          <a:tailEnd/>
        </a:ln>
      </xdr:spPr>
    </xdr:pic>
    <xdr:clientData/>
  </xdr:twoCellAnchor>
  <xdr:twoCellAnchor editAs="absolute">
    <xdr:from>
      <xdr:col>2</xdr:col>
      <xdr:colOff>161925</xdr:colOff>
      <xdr:row>6</xdr:row>
      <xdr:rowOff>57150</xdr:rowOff>
    </xdr:from>
    <xdr:to>
      <xdr:col>2</xdr:col>
      <xdr:colOff>942975</xdr:colOff>
      <xdr:row>7</xdr:row>
      <xdr:rowOff>19050</xdr:rowOff>
    </xdr:to>
    <xdr:pic>
      <xdr:nvPicPr>
        <xdr:cNvPr id="52340" name="Picture 29">
          <a:hlinkClick xmlns:r="http://schemas.openxmlformats.org/officeDocument/2006/relationships" r:id="rId15" tooltip="Eye Bolts"/>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752600" y="2962275"/>
          <a:ext cx="781050" cy="733425"/>
        </a:xfrm>
        <a:prstGeom prst="rect">
          <a:avLst/>
        </a:prstGeom>
        <a:noFill/>
        <a:ln w="9525">
          <a:noFill/>
          <a:miter lim="800000"/>
          <a:headEnd/>
          <a:tailEnd/>
        </a:ln>
      </xdr:spPr>
    </xdr:pic>
    <xdr:clientData/>
  </xdr:twoCellAnchor>
  <xdr:twoCellAnchor editAs="absolute">
    <xdr:from>
      <xdr:col>2</xdr:col>
      <xdr:colOff>161925</xdr:colOff>
      <xdr:row>7</xdr:row>
      <xdr:rowOff>47625</xdr:rowOff>
    </xdr:from>
    <xdr:to>
      <xdr:col>2</xdr:col>
      <xdr:colOff>942975</xdr:colOff>
      <xdr:row>8</xdr:row>
      <xdr:rowOff>28575</xdr:rowOff>
    </xdr:to>
    <xdr:pic>
      <xdr:nvPicPr>
        <xdr:cNvPr id="52341" name="Picture 32">
          <a:hlinkClick xmlns:r="http://schemas.openxmlformats.org/officeDocument/2006/relationships" r:id="rId17" tooltip="Hoist Rings / Stubbies"/>
        </xdr:cNvPr>
        <xdr:cNvPicPr>
          <a:picLocks noChangeAspect="1" noChangeArrowheads="1"/>
        </xdr:cNvPicPr>
      </xdr:nvPicPr>
      <xdr:blipFill>
        <a:blip xmlns:r="http://schemas.openxmlformats.org/officeDocument/2006/relationships" r:embed="rId18" cstate="print"/>
        <a:srcRect/>
        <a:stretch>
          <a:fillRect/>
        </a:stretch>
      </xdr:blipFill>
      <xdr:spPr bwMode="auto">
        <a:xfrm>
          <a:off x="1752600" y="3724275"/>
          <a:ext cx="781050" cy="733425"/>
        </a:xfrm>
        <a:prstGeom prst="rect">
          <a:avLst/>
        </a:prstGeom>
        <a:noFill/>
        <a:ln w="9525">
          <a:noFill/>
          <a:miter lim="800000"/>
          <a:headEnd/>
          <a:tailEnd/>
        </a:ln>
      </xdr:spPr>
    </xdr:pic>
    <xdr:clientData/>
  </xdr:twoCellAnchor>
  <xdr:twoCellAnchor editAs="absolute">
    <xdr:from>
      <xdr:col>5</xdr:col>
      <xdr:colOff>104775</xdr:colOff>
      <xdr:row>3</xdr:row>
      <xdr:rowOff>66675</xdr:rowOff>
    </xdr:from>
    <xdr:to>
      <xdr:col>6</xdr:col>
      <xdr:colOff>171450</xdr:colOff>
      <xdr:row>4</xdr:row>
      <xdr:rowOff>9525</xdr:rowOff>
    </xdr:to>
    <xdr:pic>
      <xdr:nvPicPr>
        <xdr:cNvPr id="52342" name="Picture 33">
          <a:hlinkClick xmlns:r="http://schemas.openxmlformats.org/officeDocument/2006/relationships" r:id="rId19" tooltip="Synthetic Slings"/>
        </xdr:cNvPr>
        <xdr:cNvPicPr>
          <a:picLocks noChangeAspect="1" noChangeArrowheads="1"/>
        </xdr:cNvPicPr>
      </xdr:nvPicPr>
      <xdr:blipFill>
        <a:blip xmlns:r="http://schemas.openxmlformats.org/officeDocument/2006/relationships" r:embed="rId20" cstate="print"/>
        <a:srcRect/>
        <a:stretch>
          <a:fillRect/>
        </a:stretch>
      </xdr:blipFill>
      <xdr:spPr bwMode="auto">
        <a:xfrm>
          <a:off x="4410075" y="628650"/>
          <a:ext cx="1895475" cy="733425"/>
        </a:xfrm>
        <a:prstGeom prst="rect">
          <a:avLst/>
        </a:prstGeom>
        <a:noFill/>
        <a:ln w="9525">
          <a:noFill/>
          <a:miter lim="800000"/>
          <a:headEnd/>
          <a:tailEnd/>
        </a:ln>
      </xdr:spPr>
    </xdr:pic>
    <xdr:clientData/>
  </xdr:twoCellAnchor>
  <xdr:twoCellAnchor editAs="absolute">
    <xdr:from>
      <xdr:col>5</xdr:col>
      <xdr:colOff>123825</xdr:colOff>
      <xdr:row>4</xdr:row>
      <xdr:rowOff>76200</xdr:rowOff>
    </xdr:from>
    <xdr:to>
      <xdr:col>6</xdr:col>
      <xdr:colOff>190500</xdr:colOff>
      <xdr:row>5</xdr:row>
      <xdr:rowOff>38100</xdr:rowOff>
    </xdr:to>
    <xdr:pic>
      <xdr:nvPicPr>
        <xdr:cNvPr id="52343" name="Picture 34">
          <a:hlinkClick xmlns:r="http://schemas.openxmlformats.org/officeDocument/2006/relationships" r:id="rId21" tooltip="Chain Slings"/>
        </xdr:cNvPr>
        <xdr:cNvPicPr>
          <a:picLocks noChangeAspect="1" noChangeArrowheads="1"/>
        </xdr:cNvPicPr>
      </xdr:nvPicPr>
      <xdr:blipFill>
        <a:blip xmlns:r="http://schemas.openxmlformats.org/officeDocument/2006/relationships" r:embed="rId22" cstate="print"/>
        <a:srcRect/>
        <a:stretch>
          <a:fillRect/>
        </a:stretch>
      </xdr:blipFill>
      <xdr:spPr bwMode="auto">
        <a:xfrm>
          <a:off x="4429125" y="1428750"/>
          <a:ext cx="1895475" cy="733425"/>
        </a:xfrm>
        <a:prstGeom prst="rect">
          <a:avLst/>
        </a:prstGeom>
        <a:noFill/>
        <a:ln w="9525">
          <a:noFill/>
          <a:miter lim="800000"/>
          <a:headEnd/>
          <a:tailEnd/>
        </a:ln>
      </xdr:spPr>
    </xdr:pic>
    <xdr:clientData/>
  </xdr:twoCellAnchor>
  <xdr:twoCellAnchor editAs="absolute">
    <xdr:from>
      <xdr:col>5</xdr:col>
      <xdr:colOff>133350</xdr:colOff>
      <xdr:row>5</xdr:row>
      <xdr:rowOff>133350</xdr:rowOff>
    </xdr:from>
    <xdr:to>
      <xdr:col>6</xdr:col>
      <xdr:colOff>180975</xdr:colOff>
      <xdr:row>6</xdr:row>
      <xdr:rowOff>85725</xdr:rowOff>
    </xdr:to>
    <xdr:pic>
      <xdr:nvPicPr>
        <xdr:cNvPr id="52344" name="Picture 35">
          <a:hlinkClick xmlns:r="http://schemas.openxmlformats.org/officeDocument/2006/relationships" r:id="rId23" tooltip="Wire Rope Slings"/>
        </xdr:cNvPr>
        <xdr:cNvPicPr>
          <a:picLocks noChangeAspect="1" noChangeArrowheads="1"/>
        </xdr:cNvPicPr>
      </xdr:nvPicPr>
      <xdr:blipFill>
        <a:blip xmlns:r="http://schemas.openxmlformats.org/officeDocument/2006/relationships" r:embed="rId24" cstate="print"/>
        <a:srcRect/>
        <a:stretch>
          <a:fillRect/>
        </a:stretch>
      </xdr:blipFill>
      <xdr:spPr bwMode="auto">
        <a:xfrm>
          <a:off x="4438650" y="2257425"/>
          <a:ext cx="1876425" cy="733425"/>
        </a:xfrm>
        <a:prstGeom prst="rect">
          <a:avLst/>
        </a:prstGeom>
        <a:noFill/>
        <a:ln w="9525">
          <a:noFill/>
          <a:miter lim="800000"/>
          <a:headEnd/>
          <a:tailEnd/>
        </a:ln>
      </xdr:spPr>
    </xdr:pic>
    <xdr:clientData/>
  </xdr:twoCellAnchor>
  <xdr:twoCellAnchor editAs="absolute">
    <xdr:from>
      <xdr:col>5</xdr:col>
      <xdr:colOff>142875</xdr:colOff>
      <xdr:row>6</xdr:row>
      <xdr:rowOff>180975</xdr:rowOff>
    </xdr:from>
    <xdr:to>
      <xdr:col>6</xdr:col>
      <xdr:colOff>209550</xdr:colOff>
      <xdr:row>7</xdr:row>
      <xdr:rowOff>142875</xdr:rowOff>
    </xdr:to>
    <xdr:pic>
      <xdr:nvPicPr>
        <xdr:cNvPr id="52345" name="Picture 36">
          <a:hlinkClick xmlns:r="http://schemas.openxmlformats.org/officeDocument/2006/relationships" r:id="rId25" tooltip="Twin-Path® Slings"/>
        </xdr:cNvPr>
        <xdr:cNvPicPr>
          <a:picLocks noChangeAspect="1" noChangeArrowheads="1"/>
        </xdr:cNvPicPr>
      </xdr:nvPicPr>
      <xdr:blipFill>
        <a:blip xmlns:r="http://schemas.openxmlformats.org/officeDocument/2006/relationships" r:embed="rId26" cstate="print"/>
        <a:srcRect/>
        <a:stretch>
          <a:fillRect/>
        </a:stretch>
      </xdr:blipFill>
      <xdr:spPr bwMode="auto">
        <a:xfrm>
          <a:off x="4448175" y="3086100"/>
          <a:ext cx="1895475" cy="733425"/>
        </a:xfrm>
        <a:prstGeom prst="rect">
          <a:avLst/>
        </a:prstGeom>
        <a:noFill/>
        <a:ln w="9525">
          <a:noFill/>
          <a:miter lim="800000"/>
          <a:headEnd/>
          <a:tailEnd/>
        </a:ln>
      </xdr:spPr>
    </xdr:pic>
    <xdr:clientData/>
  </xdr:twoCellAnchor>
  <xdr:twoCellAnchor editAs="absolute">
    <xdr:from>
      <xdr:col>6</xdr:col>
      <xdr:colOff>409575</xdr:colOff>
      <xdr:row>0</xdr:row>
      <xdr:rowOff>47625</xdr:rowOff>
    </xdr:from>
    <xdr:to>
      <xdr:col>7</xdr:col>
      <xdr:colOff>28575</xdr:colOff>
      <xdr:row>1</xdr:row>
      <xdr:rowOff>114300</xdr:rowOff>
    </xdr:to>
    <xdr:pic>
      <xdr:nvPicPr>
        <xdr:cNvPr id="52346" name="Picture 37" descr="Code Information">
          <a:hlinkClick xmlns:r="http://schemas.openxmlformats.org/officeDocument/2006/relationships" r:id="rId27" tooltip="Code Information"/>
        </xdr:cNvPr>
        <xdr:cNvPicPr>
          <a:picLocks noChangeAspect="1" noChangeArrowheads="1"/>
        </xdr:cNvPicPr>
      </xdr:nvPicPr>
      <xdr:blipFill>
        <a:blip xmlns:r="http://schemas.openxmlformats.org/officeDocument/2006/relationships" r:embed="rId28" cstate="print"/>
        <a:srcRect/>
        <a:stretch>
          <a:fillRect/>
        </a:stretch>
      </xdr:blipFill>
      <xdr:spPr bwMode="auto">
        <a:xfrm>
          <a:off x="6543675" y="47625"/>
          <a:ext cx="228600" cy="228600"/>
        </a:xfrm>
        <a:prstGeom prst="rect">
          <a:avLst/>
        </a:prstGeom>
        <a:noFill/>
        <a:ln w="9525">
          <a:noFill/>
          <a:miter lim="800000"/>
          <a:headEnd/>
          <a:tailEnd/>
        </a:ln>
      </xdr:spPr>
    </xdr:pic>
    <xdr:clientData fPrintsWithSheet="0"/>
  </xdr:twoCellAnchor>
  <xdr:twoCellAnchor editAs="absolute">
    <xdr:from>
      <xdr:col>7</xdr:col>
      <xdr:colOff>57150</xdr:colOff>
      <xdr:row>0</xdr:row>
      <xdr:rowOff>47625</xdr:rowOff>
    </xdr:from>
    <xdr:to>
      <xdr:col>7</xdr:col>
      <xdr:colOff>285750</xdr:colOff>
      <xdr:row>1</xdr:row>
      <xdr:rowOff>114300</xdr:rowOff>
    </xdr:to>
    <xdr:pic>
      <xdr:nvPicPr>
        <xdr:cNvPr id="52347" name="Picture 38" descr="help">
          <a:hlinkClick xmlns:r="http://schemas.openxmlformats.org/officeDocument/2006/relationships" r:id="rId29" tooltip="Help"/>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800850" y="47625"/>
          <a:ext cx="228600" cy="228600"/>
        </a:xfrm>
        <a:prstGeom prst="rect">
          <a:avLst/>
        </a:prstGeom>
        <a:noFill/>
        <a:ln w="9525">
          <a:noFill/>
          <a:miter lim="800000"/>
          <a:headEnd/>
          <a:tailEnd/>
        </a:ln>
      </xdr:spPr>
    </xdr:pic>
    <xdr:clientData fPrintsWithSheet="0"/>
  </xdr:twoCellAnchor>
  <xdr:twoCellAnchor editAs="absolute">
    <xdr:from>
      <xdr:col>7</xdr:col>
      <xdr:colOff>323850</xdr:colOff>
      <xdr:row>0</xdr:row>
      <xdr:rowOff>47625</xdr:rowOff>
    </xdr:from>
    <xdr:to>
      <xdr:col>7</xdr:col>
      <xdr:colOff>552450</xdr:colOff>
      <xdr:row>1</xdr:row>
      <xdr:rowOff>114300</xdr:rowOff>
    </xdr:to>
    <xdr:pic>
      <xdr:nvPicPr>
        <xdr:cNvPr id="52348" name="Picture 39" descr="star">
          <a:hlinkClick xmlns:r="http://schemas.openxmlformats.org/officeDocument/2006/relationships" r:id="rId31" tooltip="Conversions"/>
        </xdr:cNvPr>
        <xdr:cNvPicPr>
          <a:picLocks noChangeAspect="1" noChangeArrowheads="1"/>
        </xdr:cNvPicPr>
      </xdr:nvPicPr>
      <xdr:blipFill>
        <a:blip xmlns:r="http://schemas.openxmlformats.org/officeDocument/2006/relationships" r:embed="rId32" cstate="print"/>
        <a:srcRect/>
        <a:stretch>
          <a:fillRect/>
        </a:stretch>
      </xdr:blipFill>
      <xdr:spPr bwMode="auto">
        <a:xfrm>
          <a:off x="7067550" y="47625"/>
          <a:ext cx="228600" cy="228600"/>
        </a:xfrm>
        <a:prstGeom prst="rect">
          <a:avLst/>
        </a:prstGeom>
        <a:noFill/>
        <a:ln w="9525">
          <a:noFill/>
          <a:miter lim="800000"/>
          <a:headEnd/>
          <a:tailEnd/>
        </a:ln>
      </xdr:spPr>
    </xdr:pic>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xdr:col>
      <xdr:colOff>19050</xdr:colOff>
      <xdr:row>12</xdr:row>
      <xdr:rowOff>152400</xdr:rowOff>
    </xdr:from>
    <xdr:to>
      <xdr:col>7</xdr:col>
      <xdr:colOff>0</xdr:colOff>
      <xdr:row>14</xdr:row>
      <xdr:rowOff>142875</xdr:rowOff>
    </xdr:to>
    <xdr:sp macro="" textlink="">
      <xdr:nvSpPr>
        <xdr:cNvPr id="53249" name="Text Box 1"/>
        <xdr:cNvSpPr txBox="1">
          <a:spLocks noChangeArrowheads="1"/>
        </xdr:cNvSpPr>
      </xdr:nvSpPr>
      <xdr:spPr bwMode="auto">
        <a:xfrm>
          <a:off x="85725" y="4572000"/>
          <a:ext cx="5991225" cy="314325"/>
        </a:xfrm>
        <a:prstGeom prst="rect">
          <a:avLst/>
        </a:prstGeom>
        <a:solidFill>
          <a:srgbClr val="FFCC99"/>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1" i="1" u="none" strike="noStrike" baseline="0">
              <a:solidFill>
                <a:srgbClr val="000000"/>
              </a:solidFill>
              <a:latin typeface="Arial"/>
              <a:cs typeface="Arial"/>
            </a:rPr>
            <a:t>THESE WORKSHEETS ARE MATHEMATICAL TOOLS ONLY. ALL CALCULATIONS AND DECISIONS ARE THE RESPONSIBILITY OF A QUALIFIED PERSON.</a:t>
          </a:r>
        </a:p>
      </xdr:txBody>
    </xdr:sp>
    <xdr:clientData/>
  </xdr:twoCellAnchor>
  <xdr:twoCellAnchor editAs="oneCell">
    <xdr:from>
      <xdr:col>5</xdr:col>
      <xdr:colOff>361950</xdr:colOff>
      <xdr:row>4</xdr:row>
      <xdr:rowOff>38100</xdr:rowOff>
    </xdr:from>
    <xdr:to>
      <xdr:col>6</xdr:col>
      <xdr:colOff>257175</xdr:colOff>
      <xdr:row>5</xdr:row>
      <xdr:rowOff>409575</xdr:rowOff>
    </xdr:to>
    <xdr:pic>
      <xdr:nvPicPr>
        <xdr:cNvPr id="53371" name="Picture 17">
          <a:hlinkClick xmlns:r="http://schemas.openxmlformats.org/officeDocument/2006/relationships" r:id="rId1" tooltip="Find Vertical &amp; Angle"/>
        </xdr:cNvPr>
        <xdr:cNvPicPr>
          <a:picLocks noChangeAspect="1" noChangeArrowheads="1"/>
        </xdr:cNvPicPr>
      </xdr:nvPicPr>
      <xdr:blipFill>
        <a:blip xmlns:r="http://schemas.openxmlformats.org/officeDocument/2006/relationships" r:embed="rId2" cstate="print"/>
        <a:srcRect/>
        <a:stretch>
          <a:fillRect/>
        </a:stretch>
      </xdr:blipFill>
      <xdr:spPr bwMode="auto">
        <a:xfrm>
          <a:off x="5019675" y="1171575"/>
          <a:ext cx="733425" cy="533400"/>
        </a:xfrm>
        <a:prstGeom prst="rect">
          <a:avLst/>
        </a:prstGeom>
        <a:noFill/>
        <a:ln w="9525">
          <a:noFill/>
          <a:miter lim="800000"/>
          <a:headEnd/>
          <a:tailEnd/>
        </a:ln>
      </xdr:spPr>
    </xdr:pic>
    <xdr:clientData/>
  </xdr:twoCellAnchor>
  <xdr:twoCellAnchor editAs="oneCell">
    <xdr:from>
      <xdr:col>5</xdr:col>
      <xdr:colOff>381000</xdr:colOff>
      <xdr:row>5</xdr:row>
      <xdr:rowOff>542925</xdr:rowOff>
    </xdr:from>
    <xdr:to>
      <xdr:col>6</xdr:col>
      <xdr:colOff>276225</xdr:colOff>
      <xdr:row>7</xdr:row>
      <xdr:rowOff>180975</xdr:rowOff>
    </xdr:to>
    <xdr:pic>
      <xdr:nvPicPr>
        <xdr:cNvPr id="53372" name="Picture 18">
          <a:hlinkClick xmlns:r="http://schemas.openxmlformats.org/officeDocument/2006/relationships" r:id="rId3" tooltip="Find Horizontal &amp; Angle"/>
        </xdr:cNvPr>
        <xdr:cNvPicPr>
          <a:picLocks noChangeAspect="1" noChangeArrowheads="1"/>
        </xdr:cNvPicPr>
      </xdr:nvPicPr>
      <xdr:blipFill>
        <a:blip xmlns:r="http://schemas.openxmlformats.org/officeDocument/2006/relationships" r:embed="rId4" cstate="print"/>
        <a:srcRect/>
        <a:stretch>
          <a:fillRect/>
        </a:stretch>
      </xdr:blipFill>
      <xdr:spPr bwMode="auto">
        <a:xfrm>
          <a:off x="5038725" y="1838325"/>
          <a:ext cx="733425" cy="533400"/>
        </a:xfrm>
        <a:prstGeom prst="rect">
          <a:avLst/>
        </a:prstGeom>
        <a:noFill/>
        <a:ln w="9525">
          <a:noFill/>
          <a:miter lim="800000"/>
          <a:headEnd/>
          <a:tailEnd/>
        </a:ln>
      </xdr:spPr>
    </xdr:pic>
    <xdr:clientData/>
  </xdr:twoCellAnchor>
  <xdr:twoCellAnchor editAs="oneCell">
    <xdr:from>
      <xdr:col>5</xdr:col>
      <xdr:colOff>390525</xdr:colOff>
      <xdr:row>7</xdr:row>
      <xdr:rowOff>323850</xdr:rowOff>
    </xdr:from>
    <xdr:to>
      <xdr:col>6</xdr:col>
      <xdr:colOff>285750</xdr:colOff>
      <xdr:row>9</xdr:row>
      <xdr:rowOff>85725</xdr:rowOff>
    </xdr:to>
    <xdr:pic>
      <xdr:nvPicPr>
        <xdr:cNvPr id="53373" name="Picture 19">
          <a:hlinkClick xmlns:r="http://schemas.openxmlformats.org/officeDocument/2006/relationships" r:id="rId5" tooltip="Find Hypotenuse &amp; Angle"/>
        </xdr:cNvPr>
        <xdr:cNvPicPr>
          <a:picLocks noChangeAspect="1" noChangeArrowheads="1"/>
        </xdr:cNvPicPr>
      </xdr:nvPicPr>
      <xdr:blipFill>
        <a:blip xmlns:r="http://schemas.openxmlformats.org/officeDocument/2006/relationships" r:embed="rId6" cstate="print"/>
        <a:srcRect/>
        <a:stretch>
          <a:fillRect/>
        </a:stretch>
      </xdr:blipFill>
      <xdr:spPr bwMode="auto">
        <a:xfrm>
          <a:off x="5048250" y="2514600"/>
          <a:ext cx="733425" cy="533400"/>
        </a:xfrm>
        <a:prstGeom prst="rect">
          <a:avLst/>
        </a:prstGeom>
        <a:noFill/>
        <a:ln w="9525">
          <a:noFill/>
          <a:miter lim="800000"/>
          <a:headEnd/>
          <a:tailEnd/>
        </a:ln>
      </xdr:spPr>
    </xdr:pic>
    <xdr:clientData/>
  </xdr:twoCellAnchor>
  <xdr:twoCellAnchor editAs="absolute">
    <xdr:from>
      <xdr:col>1</xdr:col>
      <xdr:colOff>180975</xdr:colOff>
      <xdr:row>0</xdr:row>
      <xdr:rowOff>57150</xdr:rowOff>
    </xdr:from>
    <xdr:to>
      <xdr:col>1</xdr:col>
      <xdr:colOff>962025</xdr:colOff>
      <xdr:row>1</xdr:row>
      <xdr:rowOff>123825</xdr:rowOff>
    </xdr:to>
    <xdr:pic>
      <xdr:nvPicPr>
        <xdr:cNvPr id="53374" name="Picture 28">
          <a:hlinkClick xmlns:r="http://schemas.openxmlformats.org/officeDocument/2006/relationships" r:id="rId7" tooltip="Home"/>
        </xdr:cNvPr>
        <xdr:cNvPicPr>
          <a:picLocks noChangeAspect="1" noChangeArrowheads="1"/>
        </xdr:cNvPicPr>
      </xdr:nvPicPr>
      <xdr:blipFill>
        <a:blip xmlns:r="http://schemas.openxmlformats.org/officeDocument/2006/relationships" r:embed="rId8" cstate="print"/>
        <a:srcRect/>
        <a:stretch>
          <a:fillRect/>
        </a:stretch>
      </xdr:blipFill>
      <xdr:spPr bwMode="auto">
        <a:xfrm>
          <a:off x="247650" y="57150"/>
          <a:ext cx="781050" cy="228600"/>
        </a:xfrm>
        <a:prstGeom prst="rect">
          <a:avLst/>
        </a:prstGeom>
        <a:noFill/>
        <a:ln w="9525">
          <a:noFill/>
          <a:miter lim="800000"/>
          <a:headEnd/>
          <a:tailEnd/>
        </a:ln>
      </xdr:spPr>
    </xdr:pic>
    <xdr:clientData fPrintsWithSheet="0"/>
  </xdr:twoCellAnchor>
  <xdr:twoCellAnchor editAs="absolute">
    <xdr:from>
      <xdr:col>1</xdr:col>
      <xdr:colOff>1000125</xdr:colOff>
      <xdr:row>0</xdr:row>
      <xdr:rowOff>57150</xdr:rowOff>
    </xdr:from>
    <xdr:to>
      <xdr:col>2</xdr:col>
      <xdr:colOff>438150</xdr:colOff>
      <xdr:row>1</xdr:row>
      <xdr:rowOff>123825</xdr:rowOff>
    </xdr:to>
    <xdr:pic>
      <xdr:nvPicPr>
        <xdr:cNvPr id="53375" name="Picture 29">
          <a:hlinkClick xmlns:r="http://schemas.openxmlformats.org/officeDocument/2006/relationships" r:id="rId9" tooltip="Master Index"/>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066800" y="57150"/>
          <a:ext cx="781050" cy="228600"/>
        </a:xfrm>
        <a:prstGeom prst="rect">
          <a:avLst/>
        </a:prstGeom>
        <a:noFill/>
        <a:ln w="9525">
          <a:noFill/>
          <a:miter lim="800000"/>
          <a:headEnd/>
          <a:tailEnd/>
        </a:ln>
      </xdr:spPr>
    </xdr:pic>
    <xdr:clientData fPrintsWithSheet="0"/>
  </xdr:twoCellAnchor>
  <xdr:twoCellAnchor editAs="absolute">
    <xdr:from>
      <xdr:col>2</xdr:col>
      <xdr:colOff>647700</xdr:colOff>
      <xdr:row>0</xdr:row>
      <xdr:rowOff>57150</xdr:rowOff>
    </xdr:from>
    <xdr:to>
      <xdr:col>3</xdr:col>
      <xdr:colOff>171450</xdr:colOff>
      <xdr:row>1</xdr:row>
      <xdr:rowOff>123825</xdr:rowOff>
    </xdr:to>
    <xdr:pic>
      <xdr:nvPicPr>
        <xdr:cNvPr id="53376" name="Picture 30">
          <a:hlinkClick xmlns:r="http://schemas.openxmlformats.org/officeDocument/2006/relationships" r:id="rId11" tooltip="Weights Menu"/>
        </xdr:cNvPr>
        <xdr:cNvPicPr>
          <a:picLocks noChangeAspect="1" noChangeArrowheads="1"/>
        </xdr:cNvPicPr>
      </xdr:nvPicPr>
      <xdr:blipFill>
        <a:blip xmlns:r="http://schemas.openxmlformats.org/officeDocument/2006/relationships" r:embed="rId12" cstate="print"/>
        <a:srcRect/>
        <a:stretch>
          <a:fillRect/>
        </a:stretch>
      </xdr:blipFill>
      <xdr:spPr bwMode="auto">
        <a:xfrm>
          <a:off x="2057400" y="57150"/>
          <a:ext cx="781050" cy="228600"/>
        </a:xfrm>
        <a:prstGeom prst="rect">
          <a:avLst/>
        </a:prstGeom>
        <a:noFill/>
        <a:ln w="9525">
          <a:noFill/>
          <a:miter lim="800000"/>
          <a:headEnd/>
          <a:tailEnd/>
        </a:ln>
      </xdr:spPr>
    </xdr:pic>
    <xdr:clientData fPrintsWithSheet="0"/>
  </xdr:twoCellAnchor>
  <xdr:twoCellAnchor editAs="absolute">
    <xdr:from>
      <xdr:col>4</xdr:col>
      <xdr:colOff>152400</xdr:colOff>
      <xdr:row>0</xdr:row>
      <xdr:rowOff>57150</xdr:rowOff>
    </xdr:from>
    <xdr:to>
      <xdr:col>4</xdr:col>
      <xdr:colOff>933450</xdr:colOff>
      <xdr:row>1</xdr:row>
      <xdr:rowOff>123825</xdr:rowOff>
    </xdr:to>
    <xdr:pic>
      <xdr:nvPicPr>
        <xdr:cNvPr id="53377" name="Picture 32">
          <a:hlinkClick xmlns:r="http://schemas.openxmlformats.org/officeDocument/2006/relationships" r:id="rId13" tooltip="Equipment Menu"/>
        </xdr:cNvPr>
        <xdr:cNvPicPr>
          <a:picLocks noChangeAspect="1" noChangeArrowheads="1"/>
        </xdr:cNvPicPr>
      </xdr:nvPicPr>
      <xdr:blipFill>
        <a:blip xmlns:r="http://schemas.openxmlformats.org/officeDocument/2006/relationships" r:embed="rId14" cstate="print"/>
        <a:srcRect/>
        <a:stretch>
          <a:fillRect/>
        </a:stretch>
      </xdr:blipFill>
      <xdr:spPr bwMode="auto">
        <a:xfrm>
          <a:off x="3705225" y="57150"/>
          <a:ext cx="781050" cy="228600"/>
        </a:xfrm>
        <a:prstGeom prst="rect">
          <a:avLst/>
        </a:prstGeom>
        <a:noFill/>
        <a:ln w="9525">
          <a:noFill/>
          <a:miter lim="800000"/>
          <a:headEnd/>
          <a:tailEnd/>
        </a:ln>
      </xdr:spPr>
    </xdr:pic>
    <xdr:clientData fPrintsWithSheet="0"/>
  </xdr:twoCellAnchor>
  <xdr:twoCellAnchor editAs="oneCell">
    <xdr:from>
      <xdr:col>2</xdr:col>
      <xdr:colOff>104775</xdr:colOff>
      <xdr:row>11</xdr:row>
      <xdr:rowOff>0</xdr:rowOff>
    </xdr:from>
    <xdr:to>
      <xdr:col>2</xdr:col>
      <xdr:colOff>838200</xdr:colOff>
      <xdr:row>12</xdr:row>
      <xdr:rowOff>28575</xdr:rowOff>
    </xdr:to>
    <xdr:pic>
      <xdr:nvPicPr>
        <xdr:cNvPr id="53378" name="Picture 34">
          <a:hlinkClick xmlns:r="http://schemas.openxmlformats.org/officeDocument/2006/relationships" r:id="rId15" tooltip="Tight Lines"/>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514475" y="3762375"/>
          <a:ext cx="733425" cy="685800"/>
        </a:xfrm>
        <a:prstGeom prst="rect">
          <a:avLst/>
        </a:prstGeom>
        <a:noFill/>
        <a:ln w="9525">
          <a:noFill/>
          <a:miter lim="800000"/>
          <a:headEnd/>
          <a:tailEnd/>
        </a:ln>
      </xdr:spPr>
    </xdr:pic>
    <xdr:clientData/>
  </xdr:twoCellAnchor>
  <xdr:twoCellAnchor editAs="oneCell">
    <xdr:from>
      <xdr:col>2</xdr:col>
      <xdr:colOff>133350</xdr:colOff>
      <xdr:row>3</xdr:row>
      <xdr:rowOff>66675</xdr:rowOff>
    </xdr:from>
    <xdr:to>
      <xdr:col>2</xdr:col>
      <xdr:colOff>866775</xdr:colOff>
      <xdr:row>5</xdr:row>
      <xdr:rowOff>19050</xdr:rowOff>
    </xdr:to>
    <xdr:pic>
      <xdr:nvPicPr>
        <xdr:cNvPr id="53379" name="Picture 35">
          <a:hlinkClick xmlns:r="http://schemas.openxmlformats.org/officeDocument/2006/relationships" r:id="rId17" tooltip="Simple 2-leg configuration"/>
        </xdr:cNvPr>
        <xdr:cNvPicPr>
          <a:picLocks noChangeAspect="1" noChangeArrowheads="1"/>
        </xdr:cNvPicPr>
      </xdr:nvPicPr>
      <xdr:blipFill>
        <a:blip xmlns:r="http://schemas.openxmlformats.org/officeDocument/2006/relationships" r:embed="rId18" cstate="print"/>
        <a:srcRect/>
        <a:stretch>
          <a:fillRect/>
        </a:stretch>
      </xdr:blipFill>
      <xdr:spPr bwMode="auto">
        <a:xfrm>
          <a:off x="1543050" y="628650"/>
          <a:ext cx="733425" cy="685800"/>
        </a:xfrm>
        <a:prstGeom prst="rect">
          <a:avLst/>
        </a:prstGeom>
        <a:noFill/>
        <a:ln w="9525">
          <a:noFill/>
          <a:miter lim="800000"/>
          <a:headEnd/>
          <a:tailEnd/>
        </a:ln>
      </xdr:spPr>
    </xdr:pic>
    <xdr:clientData/>
  </xdr:twoCellAnchor>
  <xdr:twoCellAnchor editAs="oneCell">
    <xdr:from>
      <xdr:col>2</xdr:col>
      <xdr:colOff>123825</xdr:colOff>
      <xdr:row>5</xdr:row>
      <xdr:rowOff>104775</xdr:rowOff>
    </xdr:from>
    <xdr:to>
      <xdr:col>2</xdr:col>
      <xdr:colOff>857250</xdr:colOff>
      <xdr:row>6</xdr:row>
      <xdr:rowOff>66675</xdr:rowOff>
    </xdr:to>
    <xdr:pic>
      <xdr:nvPicPr>
        <xdr:cNvPr id="53380" name="Picture 36">
          <a:hlinkClick xmlns:r="http://schemas.openxmlformats.org/officeDocument/2006/relationships" r:id="rId19" tooltip="Non-Symmetrical Lif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1533525" y="1400175"/>
          <a:ext cx="733425" cy="695325"/>
        </a:xfrm>
        <a:prstGeom prst="rect">
          <a:avLst/>
        </a:prstGeom>
        <a:noFill/>
        <a:ln w="9525">
          <a:noFill/>
          <a:miter lim="800000"/>
          <a:headEnd/>
          <a:tailEnd/>
        </a:ln>
      </xdr:spPr>
    </xdr:pic>
    <xdr:clientData/>
  </xdr:twoCellAnchor>
  <xdr:twoCellAnchor editAs="oneCell">
    <xdr:from>
      <xdr:col>2</xdr:col>
      <xdr:colOff>104775</xdr:colOff>
      <xdr:row>8</xdr:row>
      <xdr:rowOff>152400</xdr:rowOff>
    </xdr:from>
    <xdr:to>
      <xdr:col>2</xdr:col>
      <xdr:colOff>838200</xdr:colOff>
      <xdr:row>10</xdr:row>
      <xdr:rowOff>47625</xdr:rowOff>
    </xdr:to>
    <xdr:pic>
      <xdr:nvPicPr>
        <xdr:cNvPr id="53381" name="Picture 37">
          <a:hlinkClick xmlns:r="http://schemas.openxmlformats.org/officeDocument/2006/relationships" r:id="rId21" tooltip="Drifting Loads"/>
        </xdr:cNvPr>
        <xdr:cNvPicPr>
          <a:picLocks noChangeAspect="1" noChangeArrowheads="1"/>
        </xdr:cNvPicPr>
      </xdr:nvPicPr>
      <xdr:blipFill>
        <a:blip xmlns:r="http://schemas.openxmlformats.org/officeDocument/2006/relationships" r:embed="rId22" cstate="print"/>
        <a:srcRect/>
        <a:stretch>
          <a:fillRect/>
        </a:stretch>
      </xdr:blipFill>
      <xdr:spPr bwMode="auto">
        <a:xfrm>
          <a:off x="1514475" y="2952750"/>
          <a:ext cx="733425" cy="695325"/>
        </a:xfrm>
        <a:prstGeom prst="rect">
          <a:avLst/>
        </a:prstGeom>
        <a:noFill/>
        <a:ln w="9525">
          <a:noFill/>
          <a:miter lim="800000"/>
          <a:headEnd/>
          <a:tailEnd/>
        </a:ln>
      </xdr:spPr>
    </xdr:pic>
    <xdr:clientData/>
  </xdr:twoCellAnchor>
  <xdr:twoCellAnchor editAs="oneCell">
    <xdr:from>
      <xdr:col>4</xdr:col>
      <xdr:colOff>104775</xdr:colOff>
      <xdr:row>5</xdr:row>
      <xdr:rowOff>76200</xdr:rowOff>
    </xdr:from>
    <xdr:to>
      <xdr:col>4</xdr:col>
      <xdr:colOff>838200</xdr:colOff>
      <xdr:row>6</xdr:row>
      <xdr:rowOff>28575</xdr:rowOff>
    </xdr:to>
    <xdr:pic>
      <xdr:nvPicPr>
        <xdr:cNvPr id="53382" name="Picture 38">
          <a:hlinkClick xmlns:r="http://schemas.openxmlformats.org/officeDocument/2006/relationships" r:id="rId23" tooltip="2-leg choker hitch reductions"/>
        </xdr:cNvPr>
        <xdr:cNvPicPr>
          <a:picLocks noChangeAspect="1" noChangeArrowheads="1"/>
        </xdr:cNvPicPr>
      </xdr:nvPicPr>
      <xdr:blipFill>
        <a:blip xmlns:r="http://schemas.openxmlformats.org/officeDocument/2006/relationships" r:embed="rId24" cstate="print"/>
        <a:srcRect/>
        <a:stretch>
          <a:fillRect/>
        </a:stretch>
      </xdr:blipFill>
      <xdr:spPr bwMode="auto">
        <a:xfrm>
          <a:off x="3657600" y="1371600"/>
          <a:ext cx="733425" cy="685800"/>
        </a:xfrm>
        <a:prstGeom prst="rect">
          <a:avLst/>
        </a:prstGeom>
        <a:noFill/>
        <a:ln w="9525">
          <a:noFill/>
          <a:miter lim="800000"/>
          <a:headEnd/>
          <a:tailEnd/>
        </a:ln>
      </xdr:spPr>
    </xdr:pic>
    <xdr:clientData/>
  </xdr:twoCellAnchor>
  <xdr:twoCellAnchor editAs="oneCell">
    <xdr:from>
      <xdr:col>2</xdr:col>
      <xdr:colOff>114300</xdr:colOff>
      <xdr:row>6</xdr:row>
      <xdr:rowOff>142875</xdr:rowOff>
    </xdr:from>
    <xdr:to>
      <xdr:col>2</xdr:col>
      <xdr:colOff>847725</xdr:colOff>
      <xdr:row>8</xdr:row>
      <xdr:rowOff>57150</xdr:rowOff>
    </xdr:to>
    <xdr:pic>
      <xdr:nvPicPr>
        <xdr:cNvPr id="53383" name="Picture 39">
          <a:hlinkClick xmlns:r="http://schemas.openxmlformats.org/officeDocument/2006/relationships" r:id="rId25" tooltip="by the book"/>
        </xdr:cNvPr>
        <xdr:cNvPicPr>
          <a:picLocks noChangeAspect="1" noChangeArrowheads="1"/>
        </xdr:cNvPicPr>
      </xdr:nvPicPr>
      <xdr:blipFill>
        <a:blip xmlns:r="http://schemas.openxmlformats.org/officeDocument/2006/relationships" r:embed="rId26" cstate="print"/>
        <a:srcRect/>
        <a:stretch>
          <a:fillRect/>
        </a:stretch>
      </xdr:blipFill>
      <xdr:spPr bwMode="auto">
        <a:xfrm>
          <a:off x="1524000" y="2171700"/>
          <a:ext cx="733425" cy="685800"/>
        </a:xfrm>
        <a:prstGeom prst="rect">
          <a:avLst/>
        </a:prstGeom>
        <a:noFill/>
        <a:ln w="9525">
          <a:noFill/>
          <a:miter lim="800000"/>
          <a:headEnd/>
          <a:tailEnd/>
        </a:ln>
      </xdr:spPr>
    </xdr:pic>
    <xdr:clientData/>
  </xdr:twoCellAnchor>
  <xdr:twoCellAnchor editAs="oneCell">
    <xdr:from>
      <xdr:col>4</xdr:col>
      <xdr:colOff>123825</xdr:colOff>
      <xdr:row>6</xdr:row>
      <xdr:rowOff>152400</xdr:rowOff>
    </xdr:from>
    <xdr:to>
      <xdr:col>4</xdr:col>
      <xdr:colOff>857250</xdr:colOff>
      <xdr:row>8</xdr:row>
      <xdr:rowOff>66675</xdr:rowOff>
    </xdr:to>
    <xdr:pic>
      <xdr:nvPicPr>
        <xdr:cNvPr id="53384" name="Picture 40">
          <a:hlinkClick xmlns:r="http://schemas.openxmlformats.org/officeDocument/2006/relationships" r:id="rId27" tooltip="Single choker hitch reduction"/>
        </xdr:cNvPr>
        <xdr:cNvPicPr>
          <a:picLocks noChangeAspect="1" noChangeArrowheads="1"/>
        </xdr:cNvPicPr>
      </xdr:nvPicPr>
      <xdr:blipFill>
        <a:blip xmlns:r="http://schemas.openxmlformats.org/officeDocument/2006/relationships" r:embed="rId28" cstate="print"/>
        <a:srcRect/>
        <a:stretch>
          <a:fillRect/>
        </a:stretch>
      </xdr:blipFill>
      <xdr:spPr bwMode="auto">
        <a:xfrm>
          <a:off x="3676650" y="2181225"/>
          <a:ext cx="733425" cy="685800"/>
        </a:xfrm>
        <a:prstGeom prst="rect">
          <a:avLst/>
        </a:prstGeom>
        <a:noFill/>
        <a:ln w="9525">
          <a:noFill/>
          <a:miter lim="800000"/>
          <a:headEnd/>
          <a:tailEnd/>
        </a:ln>
      </xdr:spPr>
    </xdr:pic>
    <xdr:clientData/>
  </xdr:twoCellAnchor>
  <xdr:twoCellAnchor editAs="absolute">
    <xdr:from>
      <xdr:col>5</xdr:col>
      <xdr:colOff>628650</xdr:colOff>
      <xdr:row>0</xdr:row>
      <xdr:rowOff>47625</xdr:rowOff>
    </xdr:from>
    <xdr:to>
      <xdr:col>6</xdr:col>
      <xdr:colOff>19050</xdr:colOff>
      <xdr:row>1</xdr:row>
      <xdr:rowOff>114300</xdr:rowOff>
    </xdr:to>
    <xdr:pic>
      <xdr:nvPicPr>
        <xdr:cNvPr id="53385" name="Picture 41" descr="Code Information">
          <a:hlinkClick xmlns:r="http://schemas.openxmlformats.org/officeDocument/2006/relationships" r:id="rId29" tooltip="Code Information"/>
        </xdr:cNvPr>
        <xdr:cNvPicPr>
          <a:picLocks noChangeAspect="1" noChangeArrowheads="1"/>
        </xdr:cNvPicPr>
      </xdr:nvPicPr>
      <xdr:blipFill>
        <a:blip xmlns:r="http://schemas.openxmlformats.org/officeDocument/2006/relationships" r:embed="rId30" cstate="print"/>
        <a:srcRect/>
        <a:stretch>
          <a:fillRect/>
        </a:stretch>
      </xdr:blipFill>
      <xdr:spPr bwMode="auto">
        <a:xfrm>
          <a:off x="5286375" y="47625"/>
          <a:ext cx="228600" cy="228600"/>
        </a:xfrm>
        <a:prstGeom prst="rect">
          <a:avLst/>
        </a:prstGeom>
        <a:noFill/>
        <a:ln w="9525">
          <a:noFill/>
          <a:miter lim="800000"/>
          <a:headEnd/>
          <a:tailEnd/>
        </a:ln>
      </xdr:spPr>
    </xdr:pic>
    <xdr:clientData fPrintsWithSheet="0"/>
  </xdr:twoCellAnchor>
  <xdr:twoCellAnchor editAs="absolute">
    <xdr:from>
      <xdr:col>6</xdr:col>
      <xdr:colOff>47625</xdr:colOff>
      <xdr:row>0</xdr:row>
      <xdr:rowOff>47625</xdr:rowOff>
    </xdr:from>
    <xdr:to>
      <xdr:col>6</xdr:col>
      <xdr:colOff>276225</xdr:colOff>
      <xdr:row>1</xdr:row>
      <xdr:rowOff>114300</xdr:rowOff>
    </xdr:to>
    <xdr:pic>
      <xdr:nvPicPr>
        <xdr:cNvPr id="53386" name="Picture 42" descr="help">
          <a:hlinkClick xmlns:r="http://schemas.openxmlformats.org/officeDocument/2006/relationships" r:id="rId31" tooltip="Help"/>
        </xdr:cNvPr>
        <xdr:cNvPicPr>
          <a:picLocks noChangeAspect="1" noChangeArrowheads="1"/>
        </xdr:cNvPicPr>
      </xdr:nvPicPr>
      <xdr:blipFill>
        <a:blip xmlns:r="http://schemas.openxmlformats.org/officeDocument/2006/relationships" r:embed="rId32" cstate="print"/>
        <a:srcRect/>
        <a:stretch>
          <a:fillRect/>
        </a:stretch>
      </xdr:blipFill>
      <xdr:spPr bwMode="auto">
        <a:xfrm>
          <a:off x="5543550" y="47625"/>
          <a:ext cx="228600" cy="228600"/>
        </a:xfrm>
        <a:prstGeom prst="rect">
          <a:avLst/>
        </a:prstGeom>
        <a:noFill/>
        <a:ln w="9525">
          <a:noFill/>
          <a:miter lim="800000"/>
          <a:headEnd/>
          <a:tailEnd/>
        </a:ln>
      </xdr:spPr>
    </xdr:pic>
    <xdr:clientData fPrintsWithSheet="0"/>
  </xdr:twoCellAnchor>
  <xdr:twoCellAnchor editAs="absolute">
    <xdr:from>
      <xdr:col>6</xdr:col>
      <xdr:colOff>314325</xdr:colOff>
      <xdr:row>0</xdr:row>
      <xdr:rowOff>47625</xdr:rowOff>
    </xdr:from>
    <xdr:to>
      <xdr:col>6</xdr:col>
      <xdr:colOff>542925</xdr:colOff>
      <xdr:row>1</xdr:row>
      <xdr:rowOff>114300</xdr:rowOff>
    </xdr:to>
    <xdr:pic>
      <xdr:nvPicPr>
        <xdr:cNvPr id="53387" name="Picture 43" descr="star">
          <a:hlinkClick xmlns:r="http://schemas.openxmlformats.org/officeDocument/2006/relationships" r:id="rId33" tooltip="Conversions"/>
        </xdr:cNvPr>
        <xdr:cNvPicPr>
          <a:picLocks noChangeAspect="1" noChangeArrowheads="1"/>
        </xdr:cNvPicPr>
      </xdr:nvPicPr>
      <xdr:blipFill>
        <a:blip xmlns:r="http://schemas.openxmlformats.org/officeDocument/2006/relationships" r:embed="rId34" cstate="print"/>
        <a:srcRect/>
        <a:stretch>
          <a:fillRect/>
        </a:stretch>
      </xdr:blipFill>
      <xdr:spPr bwMode="auto">
        <a:xfrm>
          <a:off x="5810250" y="47625"/>
          <a:ext cx="228600" cy="228600"/>
        </a:xfrm>
        <a:prstGeom prst="rect">
          <a:avLst/>
        </a:prstGeom>
        <a:noFill/>
        <a:ln w="9525">
          <a:noFill/>
          <a:miter lim="800000"/>
          <a:headEnd/>
          <a:tailEnd/>
        </a:ln>
      </xdr:spPr>
    </xdr:pic>
    <xdr:clientData fPrintsWithSheet="0"/>
  </xdr:twoCellAnchor>
  <xdr:twoCellAnchor editAs="oneCell">
    <xdr:from>
      <xdr:col>3</xdr:col>
      <xdr:colOff>104775</xdr:colOff>
      <xdr:row>10</xdr:row>
      <xdr:rowOff>47625</xdr:rowOff>
    </xdr:from>
    <xdr:to>
      <xdr:col>6</xdr:col>
      <xdr:colOff>466725</xdr:colOff>
      <xdr:row>12</xdr:row>
      <xdr:rowOff>0</xdr:rowOff>
    </xdr:to>
    <xdr:sp macro="" textlink="">
      <xdr:nvSpPr>
        <xdr:cNvPr id="53293" name="Text 4"/>
        <xdr:cNvSpPr>
          <a:spLocks noChangeArrowheads="1"/>
        </xdr:cNvSpPr>
      </xdr:nvSpPr>
      <xdr:spPr bwMode="auto">
        <a:xfrm>
          <a:off x="2771775" y="3648075"/>
          <a:ext cx="3190875" cy="771525"/>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en-GB" sz="1000" b="1" i="0" u="none" strike="noStrike" baseline="0">
              <a:solidFill>
                <a:srgbClr val="FF0000"/>
              </a:solidFill>
              <a:latin typeface="Arial"/>
              <a:cs typeface="Arial"/>
            </a:rPr>
            <a:t>All calculations must be verified by a qualified person, final approval and decision for use of any rigging is the responsibility of the qualified person.</a:t>
          </a: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66675</xdr:colOff>
      <xdr:row>0</xdr:row>
      <xdr:rowOff>47625</xdr:rowOff>
    </xdr:from>
    <xdr:to>
      <xdr:col>1</xdr:col>
      <xdr:colOff>714375</xdr:colOff>
      <xdr:row>1</xdr:row>
      <xdr:rowOff>114300</xdr:rowOff>
    </xdr:to>
    <xdr:pic>
      <xdr:nvPicPr>
        <xdr:cNvPr id="54366" name="Picture 52">
          <a:hlinkClick xmlns:r="http://schemas.openxmlformats.org/officeDocument/2006/relationships" r:id="rId1" tooltip="Return to Main Menu"/>
        </xdr:cNvPr>
        <xdr:cNvPicPr>
          <a:picLocks noChangeAspect="1" noChangeArrowheads="1"/>
        </xdr:cNvPicPr>
      </xdr:nvPicPr>
      <xdr:blipFill>
        <a:blip xmlns:r="http://schemas.openxmlformats.org/officeDocument/2006/relationships" r:embed="rId2" cstate="print"/>
        <a:srcRect/>
        <a:stretch>
          <a:fillRect/>
        </a:stretch>
      </xdr:blipFill>
      <xdr:spPr bwMode="auto">
        <a:xfrm>
          <a:off x="66675" y="47625"/>
          <a:ext cx="895350" cy="228600"/>
        </a:xfrm>
        <a:prstGeom prst="rect">
          <a:avLst/>
        </a:prstGeom>
        <a:noFill/>
        <a:ln w="9525">
          <a:noFill/>
          <a:miter lim="800000"/>
          <a:headEnd/>
          <a:tailEnd/>
        </a:ln>
      </xdr:spPr>
    </xdr:pic>
    <xdr:clientData fLocksWithSheet="0" fPrintsWithSheet="0"/>
  </xdr:twoCellAnchor>
  <xdr:twoCellAnchor editAs="absolute">
    <xdr:from>
      <xdr:col>0</xdr:col>
      <xdr:colOff>66675</xdr:colOff>
      <xdr:row>1</xdr:row>
      <xdr:rowOff>114300</xdr:rowOff>
    </xdr:from>
    <xdr:to>
      <xdr:col>1</xdr:col>
      <xdr:colOff>714375</xdr:colOff>
      <xdr:row>3</xdr:row>
      <xdr:rowOff>19050</xdr:rowOff>
    </xdr:to>
    <xdr:pic>
      <xdr:nvPicPr>
        <xdr:cNvPr id="54367" name="Picture 53">
          <a:hlinkClick xmlns:r="http://schemas.openxmlformats.org/officeDocument/2006/relationships" r:id="rId3" tooltip="Go To Master Index"/>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276225"/>
          <a:ext cx="895350" cy="228600"/>
        </a:xfrm>
        <a:prstGeom prst="rect">
          <a:avLst/>
        </a:prstGeom>
        <a:noFill/>
        <a:ln w="9525">
          <a:noFill/>
          <a:miter lim="800000"/>
          <a:headEnd/>
          <a:tailEnd/>
        </a:ln>
      </xdr:spPr>
    </xdr:pic>
    <xdr:clientData fLocksWithSheet="0" fPrintsWithSheet="0"/>
  </xdr:twoCellAnchor>
  <xdr:twoCellAnchor editAs="absolute">
    <xdr:from>
      <xdr:col>0</xdr:col>
      <xdr:colOff>66675</xdr:colOff>
      <xdr:row>3</xdr:row>
      <xdr:rowOff>57150</xdr:rowOff>
    </xdr:from>
    <xdr:to>
      <xdr:col>1</xdr:col>
      <xdr:colOff>714375</xdr:colOff>
      <xdr:row>4</xdr:row>
      <xdr:rowOff>123825</xdr:rowOff>
    </xdr:to>
    <xdr:pic>
      <xdr:nvPicPr>
        <xdr:cNvPr id="54368" name="Picture 54">
          <a:hlinkClick xmlns:r="http://schemas.openxmlformats.org/officeDocument/2006/relationships" r:id="rId5" tooltip="Go To Weights Menu"/>
        </xdr:cNvPr>
        <xdr:cNvPicPr>
          <a:picLocks noChangeAspect="1" noChangeArrowheads="1"/>
        </xdr:cNvPicPr>
      </xdr:nvPicPr>
      <xdr:blipFill>
        <a:blip xmlns:r="http://schemas.openxmlformats.org/officeDocument/2006/relationships" r:embed="rId6" cstate="print"/>
        <a:srcRect/>
        <a:stretch>
          <a:fillRect/>
        </a:stretch>
      </xdr:blipFill>
      <xdr:spPr bwMode="auto">
        <a:xfrm>
          <a:off x="66675" y="542925"/>
          <a:ext cx="895350" cy="228600"/>
        </a:xfrm>
        <a:prstGeom prst="rect">
          <a:avLst/>
        </a:prstGeom>
        <a:noFill/>
        <a:ln w="9525">
          <a:noFill/>
          <a:miter lim="800000"/>
          <a:headEnd/>
          <a:tailEnd/>
        </a:ln>
      </xdr:spPr>
    </xdr:pic>
    <xdr:clientData fLocksWithSheet="0" fPrintsWithSheet="0"/>
  </xdr:twoCellAnchor>
  <xdr:twoCellAnchor editAs="absolute">
    <xdr:from>
      <xdr:col>0</xdr:col>
      <xdr:colOff>66675</xdr:colOff>
      <xdr:row>4</xdr:row>
      <xdr:rowOff>114300</xdr:rowOff>
    </xdr:from>
    <xdr:to>
      <xdr:col>1</xdr:col>
      <xdr:colOff>714375</xdr:colOff>
      <xdr:row>6</xdr:row>
      <xdr:rowOff>19050</xdr:rowOff>
    </xdr:to>
    <xdr:pic>
      <xdr:nvPicPr>
        <xdr:cNvPr id="54369" name="Picture 55">
          <a:hlinkClick xmlns:r="http://schemas.openxmlformats.org/officeDocument/2006/relationships" r:id="rId7" tooltip="Go To Tensions Menu"/>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762000"/>
          <a:ext cx="895350" cy="228600"/>
        </a:xfrm>
        <a:prstGeom prst="rect">
          <a:avLst/>
        </a:prstGeom>
        <a:noFill/>
        <a:ln w="9525">
          <a:noFill/>
          <a:miter lim="800000"/>
          <a:headEnd/>
          <a:tailEnd/>
        </a:ln>
      </xdr:spPr>
    </xdr:pic>
    <xdr:clientData fLocksWithSheet="0" fPrintsWithSheet="0"/>
  </xdr:twoCellAnchor>
  <xdr:twoCellAnchor editAs="absolute">
    <xdr:from>
      <xdr:col>0</xdr:col>
      <xdr:colOff>66675</xdr:colOff>
      <xdr:row>6</xdr:row>
      <xdr:rowOff>28575</xdr:rowOff>
    </xdr:from>
    <xdr:to>
      <xdr:col>1</xdr:col>
      <xdr:colOff>714375</xdr:colOff>
      <xdr:row>7</xdr:row>
      <xdr:rowOff>95250</xdr:rowOff>
    </xdr:to>
    <xdr:pic>
      <xdr:nvPicPr>
        <xdr:cNvPr id="54370" name="Picture 56">
          <a:hlinkClick xmlns:r="http://schemas.openxmlformats.org/officeDocument/2006/relationships" r:id="rId9" tooltip="Go To Equipment Menu"/>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1000125"/>
          <a:ext cx="895350" cy="228600"/>
        </a:xfrm>
        <a:prstGeom prst="rect">
          <a:avLst/>
        </a:prstGeom>
        <a:noFill/>
        <a:ln w="9525">
          <a:noFill/>
          <a:miter lim="800000"/>
          <a:headEnd/>
          <a:tailEnd/>
        </a:ln>
      </xdr:spPr>
    </xdr:pic>
    <xdr:clientData fLocksWithSheet="0" fPrintsWithSheet="0"/>
  </xdr:twoCellAnchor>
  <xdr:twoCellAnchor editAs="absolute">
    <xdr:from>
      <xdr:col>0</xdr:col>
      <xdr:colOff>114300</xdr:colOff>
      <xdr:row>7</xdr:row>
      <xdr:rowOff>114300</xdr:rowOff>
    </xdr:from>
    <xdr:to>
      <xdr:col>1</xdr:col>
      <xdr:colOff>95250</xdr:colOff>
      <xdr:row>9</xdr:row>
      <xdr:rowOff>19050</xdr:rowOff>
    </xdr:to>
    <xdr:pic>
      <xdr:nvPicPr>
        <xdr:cNvPr id="54371" name="Picture 57" descr="Code Information">
          <a:hlinkClick xmlns:r="http://schemas.openxmlformats.org/officeDocument/2006/relationships" r:id="rId11" tooltip="Code Information"/>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14300" y="1247775"/>
          <a:ext cx="228600" cy="228600"/>
        </a:xfrm>
        <a:prstGeom prst="rect">
          <a:avLst/>
        </a:prstGeom>
        <a:noFill/>
        <a:ln w="9525">
          <a:noFill/>
          <a:miter lim="800000"/>
          <a:headEnd/>
          <a:tailEnd/>
        </a:ln>
      </xdr:spPr>
    </xdr:pic>
    <xdr:clientData fLocksWithSheet="0" fPrintsWithSheet="0"/>
  </xdr:twoCellAnchor>
  <xdr:twoCellAnchor editAs="absolute">
    <xdr:from>
      <xdr:col>1</xdr:col>
      <xdr:colOff>123825</xdr:colOff>
      <xdr:row>7</xdr:row>
      <xdr:rowOff>114300</xdr:rowOff>
    </xdr:from>
    <xdr:to>
      <xdr:col>1</xdr:col>
      <xdr:colOff>352425</xdr:colOff>
      <xdr:row>9</xdr:row>
      <xdr:rowOff>19050</xdr:rowOff>
    </xdr:to>
    <xdr:pic>
      <xdr:nvPicPr>
        <xdr:cNvPr id="54372" name="Picture 58" descr="help">
          <a:hlinkClick xmlns:r="http://schemas.openxmlformats.org/officeDocument/2006/relationships" r:id="rId13" tooltip="Help"/>
        </xdr:cNvPr>
        <xdr:cNvPicPr>
          <a:picLocks noChangeAspect="1" noChangeArrowheads="1"/>
        </xdr:cNvPicPr>
      </xdr:nvPicPr>
      <xdr:blipFill>
        <a:blip xmlns:r="http://schemas.openxmlformats.org/officeDocument/2006/relationships" r:embed="rId14" cstate="print"/>
        <a:srcRect/>
        <a:stretch>
          <a:fillRect/>
        </a:stretch>
      </xdr:blipFill>
      <xdr:spPr bwMode="auto">
        <a:xfrm>
          <a:off x="371475" y="1247775"/>
          <a:ext cx="228600" cy="228600"/>
        </a:xfrm>
        <a:prstGeom prst="rect">
          <a:avLst/>
        </a:prstGeom>
        <a:noFill/>
        <a:ln w="9525">
          <a:noFill/>
          <a:miter lim="800000"/>
          <a:headEnd/>
          <a:tailEnd/>
        </a:ln>
      </xdr:spPr>
    </xdr:pic>
    <xdr:clientData fLocksWithSheet="0" fPrintsWithSheet="0"/>
  </xdr:twoCellAnchor>
  <xdr:twoCellAnchor editAs="oneCell">
    <xdr:from>
      <xdr:col>8</xdr:col>
      <xdr:colOff>314325</xdr:colOff>
      <xdr:row>7</xdr:row>
      <xdr:rowOff>66675</xdr:rowOff>
    </xdr:from>
    <xdr:to>
      <xdr:col>11</xdr:col>
      <xdr:colOff>819150</xdr:colOff>
      <xdr:row>9</xdr:row>
      <xdr:rowOff>123825</xdr:rowOff>
    </xdr:to>
    <xdr:sp macro="" textlink="">
      <xdr:nvSpPr>
        <xdr:cNvPr id="54333" name="Text 4"/>
        <xdr:cNvSpPr>
          <a:spLocks noChangeArrowheads="1"/>
        </xdr:cNvSpPr>
      </xdr:nvSpPr>
      <xdr:spPr bwMode="auto">
        <a:xfrm>
          <a:off x="6753225" y="1200150"/>
          <a:ext cx="3581400" cy="38100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en-GB" sz="1000" b="1" i="0" u="none" strike="noStrike" baseline="0">
              <a:solidFill>
                <a:srgbClr val="FF0000"/>
              </a:solidFill>
              <a:latin typeface="Arial"/>
              <a:cs typeface="Arial"/>
            </a:rPr>
            <a:t>All calculations must be verified by a qualified person.</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104775</xdr:colOff>
      <xdr:row>14</xdr:row>
      <xdr:rowOff>95250</xdr:rowOff>
    </xdr:from>
    <xdr:to>
      <xdr:col>6</xdr:col>
      <xdr:colOff>0</xdr:colOff>
      <xdr:row>18</xdr:row>
      <xdr:rowOff>47625</xdr:rowOff>
    </xdr:to>
    <xdr:grpSp>
      <xdr:nvGrpSpPr>
        <xdr:cNvPr id="30803" name="Group 3"/>
        <xdr:cNvGrpSpPr>
          <a:grpSpLocks/>
        </xdr:cNvGrpSpPr>
      </xdr:nvGrpSpPr>
      <xdr:grpSpPr bwMode="auto">
        <a:xfrm>
          <a:off x="3343275" y="2571750"/>
          <a:ext cx="1114425" cy="685800"/>
          <a:chOff x="355" y="273"/>
          <a:chExt cx="117" cy="72"/>
        </a:xfrm>
      </xdr:grpSpPr>
      <xdr:sp macro="" textlink="">
        <xdr:nvSpPr>
          <xdr:cNvPr id="30816" name="Rectangle 4"/>
          <xdr:cNvSpPr>
            <a:spLocks noChangeArrowheads="1"/>
          </xdr:cNvSpPr>
        </xdr:nvSpPr>
        <xdr:spPr bwMode="auto">
          <a:xfrm>
            <a:off x="355" y="273"/>
            <a:ext cx="117" cy="72"/>
          </a:xfrm>
          <a:prstGeom prst="rect">
            <a:avLst/>
          </a:prstGeom>
          <a:solidFill>
            <a:srgbClr val="FFFF99"/>
          </a:solidFill>
          <a:ln w="9525">
            <a:solidFill>
              <a:srgbClr val="000000"/>
            </a:solidFill>
            <a:miter lim="800000"/>
            <a:headEnd/>
            <a:tailEnd/>
          </a:ln>
        </xdr:spPr>
      </xdr:sp>
    </xdr:grpSp>
    <xdr:clientData/>
  </xdr:twoCellAnchor>
  <xdr:twoCellAnchor>
    <xdr:from>
      <xdr:col>4</xdr:col>
      <xdr:colOff>47625</xdr:colOff>
      <xdr:row>0</xdr:row>
      <xdr:rowOff>28575</xdr:rowOff>
    </xdr:from>
    <xdr:to>
      <xdr:col>6</xdr:col>
      <xdr:colOff>57150</xdr:colOff>
      <xdr:row>6</xdr:row>
      <xdr:rowOff>57150</xdr:rowOff>
    </xdr:to>
    <xdr:grpSp>
      <xdr:nvGrpSpPr>
        <xdr:cNvPr id="30804" name="Group 15"/>
        <xdr:cNvGrpSpPr>
          <a:grpSpLocks/>
        </xdr:cNvGrpSpPr>
      </xdr:nvGrpSpPr>
      <xdr:grpSpPr bwMode="auto">
        <a:xfrm>
          <a:off x="3286125" y="28575"/>
          <a:ext cx="1228725" cy="1162050"/>
          <a:chOff x="357" y="4"/>
          <a:chExt cx="129" cy="122"/>
        </a:xfrm>
      </xdr:grpSpPr>
      <xdr:sp macro="" textlink="">
        <xdr:nvSpPr>
          <xdr:cNvPr id="30814" name="Rectangle 8"/>
          <xdr:cNvSpPr>
            <a:spLocks noChangeArrowheads="1"/>
          </xdr:cNvSpPr>
        </xdr:nvSpPr>
        <xdr:spPr bwMode="auto">
          <a:xfrm>
            <a:off x="357" y="4"/>
            <a:ext cx="129" cy="122"/>
          </a:xfrm>
          <a:prstGeom prst="rect">
            <a:avLst/>
          </a:prstGeom>
          <a:solidFill>
            <a:srgbClr val="FFFFFF"/>
          </a:solidFill>
          <a:ln w="9525">
            <a:noFill/>
            <a:miter lim="800000"/>
            <a:headEnd/>
            <a:tailEnd/>
          </a:ln>
        </xdr:spPr>
      </xdr:sp>
      <xdr:sp macro="" textlink="">
        <xdr:nvSpPr>
          <xdr:cNvPr id="30815" name="Rectangle 9"/>
          <xdr:cNvSpPr>
            <a:spLocks noChangeArrowheads="1"/>
          </xdr:cNvSpPr>
        </xdr:nvSpPr>
        <xdr:spPr bwMode="auto">
          <a:xfrm>
            <a:off x="358" y="28"/>
            <a:ext cx="126" cy="43"/>
          </a:xfrm>
          <a:prstGeom prst="rect">
            <a:avLst/>
          </a:prstGeom>
          <a:solidFill>
            <a:srgbClr val="FFFF99"/>
          </a:solidFill>
          <a:ln w="9525">
            <a:solidFill>
              <a:srgbClr val="000000"/>
            </a:solidFill>
            <a:miter lim="800000"/>
            <a:headEnd/>
            <a:tailEnd/>
          </a:ln>
        </xdr:spPr>
      </xdr:sp>
    </xdr:grpSp>
    <xdr:clientData/>
  </xdr:twoCellAnchor>
  <xdr:twoCellAnchor editAs="oneCell">
    <xdr:from>
      <xdr:col>6</xdr:col>
      <xdr:colOff>123825</xdr:colOff>
      <xdr:row>2</xdr:row>
      <xdr:rowOff>57150</xdr:rowOff>
    </xdr:from>
    <xdr:to>
      <xdr:col>11</xdr:col>
      <xdr:colOff>161925</xdr:colOff>
      <xdr:row>18</xdr:row>
      <xdr:rowOff>38100</xdr:rowOff>
    </xdr:to>
    <xdr:pic>
      <xdr:nvPicPr>
        <xdr:cNvPr id="30805"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4581525" y="419100"/>
          <a:ext cx="3086100" cy="2828925"/>
        </a:xfrm>
        <a:prstGeom prst="rect">
          <a:avLst/>
        </a:prstGeom>
        <a:noFill/>
        <a:ln w="9525">
          <a:noFill/>
          <a:miter lim="800000"/>
          <a:headEnd/>
          <a:tailEnd/>
        </a:ln>
      </xdr:spPr>
    </xdr:pic>
    <xdr:clientData/>
  </xdr:twoCellAnchor>
  <xdr:twoCellAnchor editAs="absolute">
    <xdr:from>
      <xdr:col>0</xdr:col>
      <xdr:colOff>47625</xdr:colOff>
      <xdr:row>0</xdr:row>
      <xdr:rowOff>66675</xdr:rowOff>
    </xdr:from>
    <xdr:to>
      <xdr:col>0</xdr:col>
      <xdr:colOff>942975</xdr:colOff>
      <xdr:row>1</xdr:row>
      <xdr:rowOff>133350</xdr:rowOff>
    </xdr:to>
    <xdr:pic>
      <xdr:nvPicPr>
        <xdr:cNvPr id="30806" name="Picture 18">
          <a:hlinkClick xmlns:r="http://schemas.openxmlformats.org/officeDocument/2006/relationships" r:id="rId2" tooltip="Return to Main Menu"/>
        </xdr:cNvPr>
        <xdr:cNvPicPr>
          <a:picLocks noChangeAspect="1" noChangeArrowheads="1"/>
        </xdr:cNvPicPr>
      </xdr:nvPicPr>
      <xdr:blipFill>
        <a:blip xmlns:r="http://schemas.openxmlformats.org/officeDocument/2006/relationships" r:embed="rId3" cstate="print"/>
        <a:srcRect/>
        <a:stretch>
          <a:fillRect/>
        </a:stretch>
      </xdr:blipFill>
      <xdr:spPr bwMode="auto">
        <a:xfrm>
          <a:off x="47625" y="6667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1</xdr:row>
      <xdr:rowOff>142875</xdr:rowOff>
    </xdr:from>
    <xdr:to>
      <xdr:col>0</xdr:col>
      <xdr:colOff>942975</xdr:colOff>
      <xdr:row>2</xdr:row>
      <xdr:rowOff>171450</xdr:rowOff>
    </xdr:to>
    <xdr:pic>
      <xdr:nvPicPr>
        <xdr:cNvPr id="30807" name="Picture 19">
          <a:hlinkClick xmlns:r="http://schemas.openxmlformats.org/officeDocument/2006/relationships" r:id="rId4" tooltip="Go To Master Index"/>
        </xdr:cNvPr>
        <xdr:cNvPicPr>
          <a:picLocks noChangeAspect="1" noChangeArrowheads="1"/>
        </xdr:cNvPicPr>
      </xdr:nvPicPr>
      <xdr:blipFill>
        <a:blip xmlns:r="http://schemas.openxmlformats.org/officeDocument/2006/relationships" r:embed="rId5" cstate="print"/>
        <a:srcRect/>
        <a:stretch>
          <a:fillRect/>
        </a:stretch>
      </xdr:blipFill>
      <xdr:spPr bwMode="auto">
        <a:xfrm>
          <a:off x="47625" y="304800"/>
          <a:ext cx="895350" cy="228600"/>
        </a:xfrm>
        <a:prstGeom prst="rect">
          <a:avLst/>
        </a:prstGeom>
        <a:noFill/>
        <a:ln w="9525">
          <a:noFill/>
          <a:miter lim="800000"/>
          <a:headEnd/>
          <a:tailEnd/>
        </a:ln>
      </xdr:spPr>
    </xdr:pic>
    <xdr:clientData fPrintsWithSheet="0"/>
  </xdr:twoCellAnchor>
  <xdr:twoCellAnchor editAs="absolute">
    <xdr:from>
      <xdr:col>0</xdr:col>
      <xdr:colOff>47625</xdr:colOff>
      <xdr:row>3</xdr:row>
      <xdr:rowOff>0</xdr:rowOff>
    </xdr:from>
    <xdr:to>
      <xdr:col>0</xdr:col>
      <xdr:colOff>942975</xdr:colOff>
      <xdr:row>4</xdr:row>
      <xdr:rowOff>28575</xdr:rowOff>
    </xdr:to>
    <xdr:pic>
      <xdr:nvPicPr>
        <xdr:cNvPr id="30808" name="Picture 20">
          <a:hlinkClick xmlns:r="http://schemas.openxmlformats.org/officeDocument/2006/relationships" r:id="rId6" tooltip="Go To Weights Menu"/>
        </xdr:cNvPr>
        <xdr:cNvPicPr>
          <a:picLocks noChangeAspect="1" noChangeArrowheads="1"/>
        </xdr:cNvPicPr>
      </xdr:nvPicPr>
      <xdr:blipFill>
        <a:blip xmlns:r="http://schemas.openxmlformats.org/officeDocument/2006/relationships" r:embed="rId7" cstate="print"/>
        <a:srcRect/>
        <a:stretch>
          <a:fillRect/>
        </a:stretch>
      </xdr:blipFill>
      <xdr:spPr bwMode="auto">
        <a:xfrm>
          <a:off x="47625" y="56197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4</xdr:row>
      <xdr:rowOff>28575</xdr:rowOff>
    </xdr:from>
    <xdr:to>
      <xdr:col>0</xdr:col>
      <xdr:colOff>942975</xdr:colOff>
      <xdr:row>5</xdr:row>
      <xdr:rowOff>57150</xdr:rowOff>
    </xdr:to>
    <xdr:pic>
      <xdr:nvPicPr>
        <xdr:cNvPr id="30809" name="Picture 21">
          <a:hlinkClick xmlns:r="http://schemas.openxmlformats.org/officeDocument/2006/relationships" r:id="rId8" tooltip="Go To Tensions Menu"/>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625" y="790575"/>
          <a:ext cx="895350" cy="228600"/>
        </a:xfrm>
        <a:prstGeom prst="rect">
          <a:avLst/>
        </a:prstGeom>
        <a:noFill/>
        <a:ln w="9525">
          <a:noFill/>
          <a:miter lim="800000"/>
          <a:headEnd/>
          <a:tailEnd/>
        </a:ln>
      </xdr:spPr>
    </xdr:pic>
    <xdr:clientData fPrintsWithSheet="0"/>
  </xdr:twoCellAnchor>
  <xdr:twoCellAnchor editAs="absolute">
    <xdr:from>
      <xdr:col>0</xdr:col>
      <xdr:colOff>47625</xdr:colOff>
      <xdr:row>5</xdr:row>
      <xdr:rowOff>57150</xdr:rowOff>
    </xdr:from>
    <xdr:to>
      <xdr:col>0</xdr:col>
      <xdr:colOff>942975</xdr:colOff>
      <xdr:row>6</xdr:row>
      <xdr:rowOff>114300</xdr:rowOff>
    </xdr:to>
    <xdr:pic>
      <xdr:nvPicPr>
        <xdr:cNvPr id="30810" name="Picture 22">
          <a:hlinkClick xmlns:r="http://schemas.openxmlformats.org/officeDocument/2006/relationships" r:id="rId10" tooltip="Go To Equipment Menu"/>
        </xdr:cNvPr>
        <xdr:cNvPicPr>
          <a:picLocks noChangeAspect="1" noChangeArrowheads="1"/>
        </xdr:cNvPicPr>
      </xdr:nvPicPr>
      <xdr:blipFill>
        <a:blip xmlns:r="http://schemas.openxmlformats.org/officeDocument/2006/relationships" r:embed="rId11" cstate="print"/>
        <a:srcRect/>
        <a:stretch>
          <a:fillRect/>
        </a:stretch>
      </xdr:blipFill>
      <xdr:spPr bwMode="auto">
        <a:xfrm>
          <a:off x="47625" y="1019175"/>
          <a:ext cx="895350" cy="228600"/>
        </a:xfrm>
        <a:prstGeom prst="rect">
          <a:avLst/>
        </a:prstGeom>
        <a:noFill/>
        <a:ln w="9525">
          <a:noFill/>
          <a:miter lim="800000"/>
          <a:headEnd/>
          <a:tailEnd/>
        </a:ln>
      </xdr:spPr>
    </xdr:pic>
    <xdr:clientData fPrintsWithSheet="0"/>
  </xdr:twoCellAnchor>
  <xdr:twoCellAnchor editAs="absolute">
    <xdr:from>
      <xdr:col>0</xdr:col>
      <xdr:colOff>95250</xdr:colOff>
      <xdr:row>6</xdr:row>
      <xdr:rowOff>133350</xdr:rowOff>
    </xdr:from>
    <xdr:to>
      <xdr:col>0</xdr:col>
      <xdr:colOff>323850</xdr:colOff>
      <xdr:row>8</xdr:row>
      <xdr:rowOff>9525</xdr:rowOff>
    </xdr:to>
    <xdr:pic>
      <xdr:nvPicPr>
        <xdr:cNvPr id="30811" name="Picture 24" descr="Code Information">
          <a:hlinkClick xmlns:r="http://schemas.openxmlformats.org/officeDocument/2006/relationships" r:id="rId12" tooltip="Code Information"/>
        </xdr:cNvPr>
        <xdr:cNvPicPr>
          <a:picLocks noChangeAspect="1" noChangeArrowheads="1"/>
        </xdr:cNvPicPr>
      </xdr:nvPicPr>
      <xdr:blipFill>
        <a:blip xmlns:r="http://schemas.openxmlformats.org/officeDocument/2006/relationships" r:embed="rId13" cstate="print"/>
        <a:srcRect/>
        <a:stretch>
          <a:fillRect/>
        </a:stretch>
      </xdr:blipFill>
      <xdr:spPr bwMode="auto">
        <a:xfrm>
          <a:off x="95250" y="1266825"/>
          <a:ext cx="228600" cy="228600"/>
        </a:xfrm>
        <a:prstGeom prst="rect">
          <a:avLst/>
        </a:prstGeom>
        <a:noFill/>
        <a:ln w="9525">
          <a:noFill/>
          <a:miter lim="800000"/>
          <a:headEnd/>
          <a:tailEnd/>
        </a:ln>
      </xdr:spPr>
    </xdr:pic>
    <xdr:clientData fPrintsWithSheet="0"/>
  </xdr:twoCellAnchor>
  <xdr:twoCellAnchor editAs="absolute">
    <xdr:from>
      <xdr:col>0</xdr:col>
      <xdr:colOff>352425</xdr:colOff>
      <xdr:row>6</xdr:row>
      <xdr:rowOff>133350</xdr:rowOff>
    </xdr:from>
    <xdr:to>
      <xdr:col>0</xdr:col>
      <xdr:colOff>581025</xdr:colOff>
      <xdr:row>8</xdr:row>
      <xdr:rowOff>9525</xdr:rowOff>
    </xdr:to>
    <xdr:pic>
      <xdr:nvPicPr>
        <xdr:cNvPr id="30812" name="Picture 25" descr="help">
          <a:hlinkClick xmlns:r="http://schemas.openxmlformats.org/officeDocument/2006/relationships" r:id="rId14" tooltip="Help"/>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52425" y="1266825"/>
          <a:ext cx="228600" cy="228600"/>
        </a:xfrm>
        <a:prstGeom prst="rect">
          <a:avLst/>
        </a:prstGeom>
        <a:noFill/>
        <a:ln w="9525">
          <a:noFill/>
          <a:miter lim="800000"/>
          <a:headEnd/>
          <a:tailEnd/>
        </a:ln>
      </xdr:spPr>
    </xdr:pic>
    <xdr:clientData fPrintsWithSheet="0"/>
  </xdr:twoCellAnchor>
  <xdr:twoCellAnchor editAs="absolute">
    <xdr:from>
      <xdr:col>0</xdr:col>
      <xdr:colOff>619125</xdr:colOff>
      <xdr:row>6</xdr:row>
      <xdr:rowOff>133350</xdr:rowOff>
    </xdr:from>
    <xdr:to>
      <xdr:col>0</xdr:col>
      <xdr:colOff>847725</xdr:colOff>
      <xdr:row>8</xdr:row>
      <xdr:rowOff>9525</xdr:rowOff>
    </xdr:to>
    <xdr:pic>
      <xdr:nvPicPr>
        <xdr:cNvPr id="30813" name="Picture 26" descr="star">
          <a:hlinkClick xmlns:r="http://schemas.openxmlformats.org/officeDocument/2006/relationships" r:id="rId16" tooltip="Conversions"/>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19125" y="1266825"/>
          <a:ext cx="228600" cy="22860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editAs="oneCell">
        <xdr:from>
          <xdr:col>2</xdr:col>
          <xdr:colOff>57150</xdr:colOff>
          <xdr:row>18</xdr:row>
          <xdr:rowOff>142875</xdr:rowOff>
        </xdr:from>
        <xdr:to>
          <xdr:col>5</xdr:col>
          <xdr:colOff>285750</xdr:colOff>
          <xdr:row>20</xdr:row>
          <xdr:rowOff>38100</xdr:rowOff>
        </xdr:to>
        <xdr:sp macro="" textlink="">
          <xdr:nvSpPr>
            <xdr:cNvPr id="30721" name="Drop Down 1" hidden="1">
              <a:extLst>
                <a:ext uri="{63B3BB69-23CF-44E3-9099-C40C66FF867C}">
                  <a14:compatExt spid="_x0000_s307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123825</xdr:colOff>
          <xdr:row>1</xdr:row>
          <xdr:rowOff>171450</xdr:rowOff>
        </xdr:from>
        <xdr:to>
          <xdr:col>5</xdr:col>
          <xdr:colOff>590550</xdr:colOff>
          <xdr:row>3</xdr:row>
          <xdr:rowOff>38100</xdr:rowOff>
        </xdr:to>
        <xdr:grpSp>
          <xdr:nvGrpSpPr>
            <xdr:cNvPr id="30730" name="Group 10"/>
            <xdr:cNvGrpSpPr>
              <a:grpSpLocks/>
            </xdr:cNvGrpSpPr>
          </xdr:nvGrpSpPr>
          <xdr:grpSpPr bwMode="auto">
            <a:xfrm>
              <a:off x="3362325" y="333375"/>
              <a:ext cx="1076325" cy="266700"/>
              <a:chOff x="7" y="41"/>
              <a:chExt cx="113" cy="28"/>
            </a:xfrm>
          </xdr:grpSpPr>
          <xdr:sp macro="" textlink="">
            <xdr:nvSpPr>
              <xdr:cNvPr id="30731" name="Option Button 11" hidden="1">
                <a:extLst>
                  <a:ext uri="{63B3BB69-23CF-44E3-9099-C40C66FF867C}">
                    <a14:compatExt spid="_x0000_s30731"/>
                  </a:ext>
                </a:extLst>
              </xdr:cNvPr>
              <xdr:cNvSpPr/>
            </xdr:nvSpPr>
            <xdr:spPr>
              <a:xfrm>
                <a:off x="11" y="46"/>
                <a:ext cx="46"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a:t>
                </a:r>
              </a:p>
            </xdr:txBody>
          </xdr:sp>
          <xdr:sp macro="" textlink="">
            <xdr:nvSpPr>
              <xdr:cNvPr id="30732" name="Option Button 12" hidden="1">
                <a:extLst>
                  <a:ext uri="{63B3BB69-23CF-44E3-9099-C40C66FF867C}">
                    <a14:compatExt spid="_x0000_s30732"/>
                  </a:ext>
                </a:extLst>
              </xdr:cNvPr>
              <xdr:cNvSpPr/>
            </xdr:nvSpPr>
            <xdr:spPr>
              <a:xfrm>
                <a:off x="55" y="46"/>
                <a:ext cx="57" cy="2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Metric</a:t>
                </a:r>
              </a:p>
            </xdr:txBody>
          </xdr:sp>
          <xdr:sp macro="" textlink="">
            <xdr:nvSpPr>
              <xdr:cNvPr id="30733" name="Group Box 13" hidden="1">
                <a:extLst>
                  <a:ext uri="{63B3BB69-23CF-44E3-9099-C40C66FF867C}">
                    <a14:compatExt spid="_x0000_s30733"/>
                  </a:ext>
                </a:extLst>
              </xdr:cNvPr>
              <xdr:cNvSpPr/>
            </xdr:nvSpPr>
            <xdr:spPr>
              <a:xfrm>
                <a:off x="7" y="41"/>
                <a:ext cx="113" cy="28"/>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Measurement Units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247650</xdr:colOff>
          <xdr:row>15</xdr:row>
          <xdr:rowOff>114300</xdr:rowOff>
        </xdr:from>
        <xdr:to>
          <xdr:col>5</xdr:col>
          <xdr:colOff>514350</xdr:colOff>
          <xdr:row>16</xdr:row>
          <xdr:rowOff>161925</xdr:rowOff>
        </xdr:to>
        <xdr:sp macro="" textlink="">
          <xdr:nvSpPr>
            <xdr:cNvPr id="30725" name="Option Button 5" hidden="1">
              <a:extLst>
                <a:ext uri="{63B3BB69-23CF-44E3-9099-C40C66FF867C}">
                  <a14:compatExt spid="_x0000_s307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238125</xdr:colOff>
          <xdr:row>16</xdr:row>
          <xdr:rowOff>123825</xdr:rowOff>
        </xdr:from>
        <xdr:to>
          <xdr:col>5</xdr:col>
          <xdr:colOff>400050</xdr:colOff>
          <xdr:row>17</xdr:row>
          <xdr:rowOff>142875</xdr:rowOff>
        </xdr:to>
        <xdr:sp macro="" textlink="">
          <xdr:nvSpPr>
            <xdr:cNvPr id="30726" name="Option Button 6" hidden="1">
              <a:extLst>
                <a:ext uri="{63B3BB69-23CF-44E3-9099-C40C66FF867C}">
                  <a14:compatExt spid="_x0000_s307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Metric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15</xdr:row>
          <xdr:rowOff>47625</xdr:rowOff>
        </xdr:from>
        <xdr:to>
          <xdr:col>5</xdr:col>
          <xdr:colOff>523875</xdr:colOff>
          <xdr:row>17</xdr:row>
          <xdr:rowOff>152400</xdr:rowOff>
        </xdr:to>
        <xdr:sp macro="" textlink="">
          <xdr:nvSpPr>
            <xdr:cNvPr id="30727" name="Group Box 7" hidden="1">
              <a:extLst>
                <a:ext uri="{63B3BB69-23CF-44E3-9099-C40C66FF867C}">
                  <a14:compatExt spid="_x0000_s30727"/>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Weight Display</a:t>
              </a:r>
            </a:p>
          </xdr:txBody>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acratech.com/" TargetMode="External"/><Relationship Id="rId1" Type="http://schemas.openxmlformats.org/officeDocument/2006/relationships/hyperlink" Target="http://www.acratech.com/"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10.vml"/><Relationship Id="rId7" Type="http://schemas.openxmlformats.org/officeDocument/2006/relationships/ctrlProp" Target="../ctrlProps/ctrlProp10.xml"/><Relationship Id="rId12" Type="http://schemas.openxmlformats.org/officeDocument/2006/relationships/comments" Target="../comments4.xml"/><Relationship Id="rId2" Type="http://schemas.openxmlformats.org/officeDocument/2006/relationships/drawing" Target="../drawings/drawing10.xml"/><Relationship Id="rId1" Type="http://schemas.openxmlformats.org/officeDocument/2006/relationships/printerSettings" Target="../printerSettings/printerSettings9.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0" Type="http://schemas.openxmlformats.org/officeDocument/2006/relationships/ctrlProp" Target="../ctrlProps/ctrlProp13.xml"/><Relationship Id="rId4" Type="http://schemas.openxmlformats.org/officeDocument/2006/relationships/vmlDrawing" Target="../drawings/vmlDrawing11.vml"/><Relationship Id="rId9" Type="http://schemas.openxmlformats.org/officeDocument/2006/relationships/ctrlProp" Target="../ctrlProps/ctrlProp12.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8.xml"/><Relationship Id="rId3" Type="http://schemas.openxmlformats.org/officeDocument/2006/relationships/vmlDrawing" Target="../drawings/vmlDrawing12.vml"/><Relationship Id="rId7" Type="http://schemas.openxmlformats.org/officeDocument/2006/relationships/ctrlProp" Target="../ctrlProps/ctrlProp17.xml"/><Relationship Id="rId12" Type="http://schemas.openxmlformats.org/officeDocument/2006/relationships/comments" Target="../comments5.xml"/><Relationship Id="rId2" Type="http://schemas.openxmlformats.org/officeDocument/2006/relationships/drawing" Target="../drawings/drawing11.xml"/><Relationship Id="rId1" Type="http://schemas.openxmlformats.org/officeDocument/2006/relationships/printerSettings" Target="../printerSettings/printerSettings10.bin"/><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vmlDrawing" Target="../drawings/vmlDrawing13.vml"/><Relationship Id="rId9" Type="http://schemas.openxmlformats.org/officeDocument/2006/relationships/ctrlProp" Target="../ctrlProps/ctrlProp1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14.vml"/><Relationship Id="rId7" Type="http://schemas.openxmlformats.org/officeDocument/2006/relationships/ctrlProp" Target="../ctrlProps/ctrlProp24.xml"/><Relationship Id="rId12" Type="http://schemas.openxmlformats.org/officeDocument/2006/relationships/comments" Target="../comments6.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vmlDrawing" Target="../drawings/vmlDrawing15.vml"/><Relationship Id="rId9" Type="http://schemas.openxmlformats.org/officeDocument/2006/relationships/ctrlProp" Target="../ctrlProps/ctrlProp26.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vmlDrawing" Target="../drawings/vmlDrawing16.vml"/><Relationship Id="rId7" Type="http://schemas.openxmlformats.org/officeDocument/2006/relationships/ctrlProp" Target="../ctrlProps/ctrlProp31.xml"/><Relationship Id="rId12" Type="http://schemas.openxmlformats.org/officeDocument/2006/relationships/comments" Target="../comments7.xml"/><Relationship Id="rId2" Type="http://schemas.openxmlformats.org/officeDocument/2006/relationships/drawing" Target="../drawings/drawing13.xml"/><Relationship Id="rId1" Type="http://schemas.openxmlformats.org/officeDocument/2006/relationships/printerSettings" Target="../printerSettings/printerSettings12.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vmlDrawing" Target="../drawings/vmlDrawing17.vml"/><Relationship Id="rId9" Type="http://schemas.openxmlformats.org/officeDocument/2006/relationships/ctrlProp" Target="../ctrlProps/ctrlProp33.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8.vml"/><Relationship Id="rId7" Type="http://schemas.openxmlformats.org/officeDocument/2006/relationships/ctrlProp" Target="../ctrlProps/ctrlProp38.xml"/><Relationship Id="rId12" Type="http://schemas.openxmlformats.org/officeDocument/2006/relationships/comments" Target="../comments8.xml"/><Relationship Id="rId2" Type="http://schemas.openxmlformats.org/officeDocument/2006/relationships/drawing" Target="../drawings/drawing14.xml"/><Relationship Id="rId1" Type="http://schemas.openxmlformats.org/officeDocument/2006/relationships/printerSettings" Target="../printerSettings/printerSettings13.bin"/><Relationship Id="rId6" Type="http://schemas.openxmlformats.org/officeDocument/2006/relationships/ctrlProp" Target="../ctrlProps/ctrlProp37.xml"/><Relationship Id="rId11" Type="http://schemas.openxmlformats.org/officeDocument/2006/relationships/ctrlProp" Target="../ctrlProps/ctrlProp42.xml"/><Relationship Id="rId5" Type="http://schemas.openxmlformats.org/officeDocument/2006/relationships/ctrlProp" Target="../ctrlProps/ctrlProp36.xml"/><Relationship Id="rId10" Type="http://schemas.openxmlformats.org/officeDocument/2006/relationships/ctrlProp" Target="../ctrlProps/ctrlProp41.xml"/><Relationship Id="rId4" Type="http://schemas.openxmlformats.org/officeDocument/2006/relationships/vmlDrawing" Target="../drawings/vmlDrawing19.vml"/><Relationship Id="rId9" Type="http://schemas.openxmlformats.org/officeDocument/2006/relationships/ctrlProp" Target="../ctrlProps/ctrlProp40.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6.xml"/><Relationship Id="rId3" Type="http://schemas.openxmlformats.org/officeDocument/2006/relationships/vmlDrawing" Target="../drawings/vmlDrawing20.vml"/><Relationship Id="rId7" Type="http://schemas.openxmlformats.org/officeDocument/2006/relationships/ctrlProp" Target="../ctrlProps/ctrlProp45.xml"/><Relationship Id="rId12" Type="http://schemas.openxmlformats.org/officeDocument/2006/relationships/comments" Target="../comments9.xml"/><Relationship Id="rId2" Type="http://schemas.openxmlformats.org/officeDocument/2006/relationships/drawing" Target="../drawings/drawing15.xml"/><Relationship Id="rId1" Type="http://schemas.openxmlformats.org/officeDocument/2006/relationships/printerSettings" Target="../printerSettings/printerSettings14.bin"/><Relationship Id="rId6" Type="http://schemas.openxmlformats.org/officeDocument/2006/relationships/ctrlProp" Target="../ctrlProps/ctrlProp44.xml"/><Relationship Id="rId11" Type="http://schemas.openxmlformats.org/officeDocument/2006/relationships/ctrlProp" Target="../ctrlProps/ctrlProp49.xml"/><Relationship Id="rId5" Type="http://schemas.openxmlformats.org/officeDocument/2006/relationships/ctrlProp" Target="../ctrlProps/ctrlProp43.xml"/><Relationship Id="rId10" Type="http://schemas.openxmlformats.org/officeDocument/2006/relationships/ctrlProp" Target="../ctrlProps/ctrlProp48.xml"/><Relationship Id="rId4" Type="http://schemas.openxmlformats.org/officeDocument/2006/relationships/vmlDrawing" Target="../drawings/vmlDrawing21.vml"/><Relationship Id="rId9" Type="http://schemas.openxmlformats.org/officeDocument/2006/relationships/ctrlProp" Target="../ctrlProps/ctrlProp47.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53.xml"/><Relationship Id="rId3" Type="http://schemas.openxmlformats.org/officeDocument/2006/relationships/vmlDrawing" Target="../drawings/vmlDrawing22.vml"/><Relationship Id="rId7" Type="http://schemas.openxmlformats.org/officeDocument/2006/relationships/ctrlProp" Target="../ctrlProps/ctrlProp52.xml"/><Relationship Id="rId12" Type="http://schemas.openxmlformats.org/officeDocument/2006/relationships/comments" Target="../comments10.xml"/><Relationship Id="rId2" Type="http://schemas.openxmlformats.org/officeDocument/2006/relationships/drawing" Target="../drawings/drawing16.xml"/><Relationship Id="rId1" Type="http://schemas.openxmlformats.org/officeDocument/2006/relationships/printerSettings" Target="../printerSettings/printerSettings15.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0" Type="http://schemas.openxmlformats.org/officeDocument/2006/relationships/ctrlProp" Target="../ctrlProps/ctrlProp55.xml"/><Relationship Id="rId4" Type="http://schemas.openxmlformats.org/officeDocument/2006/relationships/vmlDrawing" Target="../drawings/vmlDrawing23.vml"/><Relationship Id="rId9" Type="http://schemas.openxmlformats.org/officeDocument/2006/relationships/ctrlProp" Target="../ctrlProps/ctrlProp54.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24.vml"/><Relationship Id="rId7" Type="http://schemas.openxmlformats.org/officeDocument/2006/relationships/ctrlProp" Target="../ctrlProps/ctrlProp59.xml"/><Relationship Id="rId12" Type="http://schemas.openxmlformats.org/officeDocument/2006/relationships/comments" Target="../comments11.xml"/><Relationship Id="rId2" Type="http://schemas.openxmlformats.org/officeDocument/2006/relationships/drawing" Target="../drawings/drawing17.xml"/><Relationship Id="rId1" Type="http://schemas.openxmlformats.org/officeDocument/2006/relationships/printerSettings" Target="../printerSettings/printerSettings16.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0" Type="http://schemas.openxmlformats.org/officeDocument/2006/relationships/ctrlProp" Target="../ctrlProps/ctrlProp62.xml"/><Relationship Id="rId4" Type="http://schemas.openxmlformats.org/officeDocument/2006/relationships/vmlDrawing" Target="../drawings/vmlDrawing25.vml"/><Relationship Id="rId9" Type="http://schemas.openxmlformats.org/officeDocument/2006/relationships/ctrlProp" Target="../ctrlProps/ctrlProp6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8.xml"/><Relationship Id="rId1" Type="http://schemas.openxmlformats.org/officeDocument/2006/relationships/printerSettings" Target="../printerSettings/printerSettings17.bin"/><Relationship Id="rId5" Type="http://schemas.openxmlformats.org/officeDocument/2006/relationships/comments" Target="../comments12.xml"/><Relationship Id="rId4" Type="http://schemas.openxmlformats.org/officeDocument/2006/relationships/vmlDrawing" Target="../drawings/vmlDrawing27.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9.xml"/><Relationship Id="rId1" Type="http://schemas.openxmlformats.org/officeDocument/2006/relationships/printerSettings" Target="../printerSettings/printerSettings18.bin"/><Relationship Id="rId5" Type="http://schemas.openxmlformats.org/officeDocument/2006/relationships/ctrlProp" Target="../ctrlProps/ctrlProp64.xml"/><Relationship Id="rId4" Type="http://schemas.openxmlformats.org/officeDocument/2006/relationships/vmlDrawing" Target="../drawings/vmlDrawing29.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Program%20Files/LiftCalc3/Liftcalc3_User_Manual.pdf" TargetMode="External"/><Relationship Id="rId1" Type="http://schemas.openxmlformats.org/officeDocument/2006/relationships/hyperlink" Target="../../Gordon.Farquhar/AppData/Local/VirtualStore/Program%20Files/Excel_master/Liftcalc3_User_Manual.pdf"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0.xml"/><Relationship Id="rId1" Type="http://schemas.openxmlformats.org/officeDocument/2006/relationships/printerSettings" Target="../printerSettings/printerSettings19.bin"/><Relationship Id="rId5" Type="http://schemas.openxmlformats.org/officeDocument/2006/relationships/ctrlProp" Target="../ctrlProps/ctrlProp65.xml"/><Relationship Id="rId4" Type="http://schemas.openxmlformats.org/officeDocument/2006/relationships/vmlDrawing" Target="../drawings/vmlDrawing31.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1.xml"/><Relationship Id="rId1" Type="http://schemas.openxmlformats.org/officeDocument/2006/relationships/printerSettings" Target="../printerSettings/printerSettings20.bin"/><Relationship Id="rId5" Type="http://schemas.openxmlformats.org/officeDocument/2006/relationships/ctrlProp" Target="../ctrlProps/ctrlProp66.xml"/><Relationship Id="rId4" Type="http://schemas.openxmlformats.org/officeDocument/2006/relationships/vmlDrawing" Target="../drawings/vmlDrawing33.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22.xml"/><Relationship Id="rId1" Type="http://schemas.openxmlformats.org/officeDocument/2006/relationships/printerSettings" Target="../printerSettings/printerSettings21.bin"/><Relationship Id="rId5" Type="http://schemas.openxmlformats.org/officeDocument/2006/relationships/ctrlProp" Target="../ctrlProps/ctrlProp67.xml"/><Relationship Id="rId4" Type="http://schemas.openxmlformats.org/officeDocument/2006/relationships/vmlDrawing" Target="../drawings/vmlDrawing35.v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3.xml"/><Relationship Id="rId1" Type="http://schemas.openxmlformats.org/officeDocument/2006/relationships/printerSettings" Target="../printerSettings/printerSettings22.bin"/><Relationship Id="rId5" Type="http://schemas.openxmlformats.org/officeDocument/2006/relationships/ctrlProp" Target="../ctrlProps/ctrlProp68.xml"/><Relationship Id="rId4" Type="http://schemas.openxmlformats.org/officeDocument/2006/relationships/vmlDrawing" Target="../drawings/vmlDrawing37.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4.xml"/><Relationship Id="rId1" Type="http://schemas.openxmlformats.org/officeDocument/2006/relationships/printerSettings" Target="../printerSettings/printerSettings23.bin"/><Relationship Id="rId5" Type="http://schemas.openxmlformats.org/officeDocument/2006/relationships/ctrlProp" Target="../ctrlProps/ctrlProp69.xml"/><Relationship Id="rId4" Type="http://schemas.openxmlformats.org/officeDocument/2006/relationships/vmlDrawing" Target="../drawings/vmlDrawing39.v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5.xml"/><Relationship Id="rId1" Type="http://schemas.openxmlformats.org/officeDocument/2006/relationships/printerSettings" Target="../printerSettings/printerSettings24.bin"/><Relationship Id="rId5" Type="http://schemas.openxmlformats.org/officeDocument/2006/relationships/ctrlProp" Target="../ctrlProps/ctrlProp70.xml"/><Relationship Id="rId4" Type="http://schemas.openxmlformats.org/officeDocument/2006/relationships/vmlDrawing" Target="../drawings/vmlDrawing41.v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6.xml"/><Relationship Id="rId1" Type="http://schemas.openxmlformats.org/officeDocument/2006/relationships/printerSettings" Target="../printerSettings/printerSettings25.bin"/><Relationship Id="rId5" Type="http://schemas.openxmlformats.org/officeDocument/2006/relationships/ctrlProp" Target="../ctrlProps/ctrlProp71.xml"/><Relationship Id="rId4" Type="http://schemas.openxmlformats.org/officeDocument/2006/relationships/vmlDrawing" Target="../drawings/vmlDrawing43.v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0.xml"/><Relationship Id="rId1" Type="http://schemas.openxmlformats.org/officeDocument/2006/relationships/printerSettings" Target="../printerSettings/printerSettings29.bin"/><Relationship Id="rId5" Type="http://schemas.openxmlformats.org/officeDocument/2006/relationships/ctrlProp" Target="../ctrlProps/ctrlProp72.xml"/><Relationship Id="rId4" Type="http://schemas.openxmlformats.org/officeDocument/2006/relationships/vmlDrawing" Target="../drawings/vmlDrawing48.v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76.xml"/><Relationship Id="rId3" Type="http://schemas.openxmlformats.org/officeDocument/2006/relationships/vmlDrawing" Target="../drawings/vmlDrawing49.vml"/><Relationship Id="rId7" Type="http://schemas.openxmlformats.org/officeDocument/2006/relationships/ctrlProp" Target="../ctrlProps/ctrlProp75.xml"/><Relationship Id="rId2" Type="http://schemas.openxmlformats.org/officeDocument/2006/relationships/drawing" Target="../drawings/drawing31.xml"/><Relationship Id="rId1" Type="http://schemas.openxmlformats.org/officeDocument/2006/relationships/printerSettings" Target="../printerSettings/printerSettings30.bin"/><Relationship Id="rId6" Type="http://schemas.openxmlformats.org/officeDocument/2006/relationships/ctrlProp" Target="../ctrlProps/ctrlProp74.xml"/><Relationship Id="rId11" Type="http://schemas.openxmlformats.org/officeDocument/2006/relationships/comments" Target="../comments13.xml"/><Relationship Id="rId5" Type="http://schemas.openxmlformats.org/officeDocument/2006/relationships/ctrlProp" Target="../ctrlProps/ctrlProp73.xml"/><Relationship Id="rId10" Type="http://schemas.openxmlformats.org/officeDocument/2006/relationships/ctrlProp" Target="../ctrlProps/ctrlProp78.xml"/><Relationship Id="rId4" Type="http://schemas.openxmlformats.org/officeDocument/2006/relationships/vmlDrawing" Target="../drawings/vmlDrawing50.vml"/><Relationship Id="rId9" Type="http://schemas.openxmlformats.org/officeDocument/2006/relationships/ctrlProp" Target="../ctrlProps/ctrlProp77.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51.vml"/><Relationship Id="rId7" Type="http://schemas.openxmlformats.org/officeDocument/2006/relationships/ctrlProp" Target="../ctrlProps/ctrlProp81.xml"/><Relationship Id="rId2" Type="http://schemas.openxmlformats.org/officeDocument/2006/relationships/drawing" Target="../drawings/drawing32.xml"/><Relationship Id="rId1" Type="http://schemas.openxmlformats.org/officeDocument/2006/relationships/printerSettings" Target="../printerSettings/printerSettings31.bin"/><Relationship Id="rId6" Type="http://schemas.openxmlformats.org/officeDocument/2006/relationships/ctrlProp" Target="../ctrlProps/ctrlProp80.xml"/><Relationship Id="rId5" Type="http://schemas.openxmlformats.org/officeDocument/2006/relationships/ctrlProp" Target="../ctrlProps/ctrlProp79.xml"/><Relationship Id="rId4" Type="http://schemas.openxmlformats.org/officeDocument/2006/relationships/vmlDrawing" Target="../drawings/vmlDrawing52.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53.vml"/><Relationship Id="rId7" Type="http://schemas.openxmlformats.org/officeDocument/2006/relationships/ctrlProp" Target="../ctrlProps/ctrlProp84.xml"/><Relationship Id="rId2" Type="http://schemas.openxmlformats.org/officeDocument/2006/relationships/drawing" Target="../drawings/drawing33.xml"/><Relationship Id="rId1" Type="http://schemas.openxmlformats.org/officeDocument/2006/relationships/printerSettings" Target="../printerSettings/printerSettings32.bin"/><Relationship Id="rId6" Type="http://schemas.openxmlformats.org/officeDocument/2006/relationships/ctrlProp" Target="../ctrlProps/ctrlProp83.xml"/><Relationship Id="rId5" Type="http://schemas.openxmlformats.org/officeDocument/2006/relationships/ctrlProp" Target="../ctrlProps/ctrlProp82.xml"/><Relationship Id="rId4" Type="http://schemas.openxmlformats.org/officeDocument/2006/relationships/vmlDrawing" Target="../drawings/vmlDrawing54.v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55.vml"/><Relationship Id="rId7" Type="http://schemas.openxmlformats.org/officeDocument/2006/relationships/ctrlProp" Target="../ctrlProps/ctrlProp87.xml"/><Relationship Id="rId2" Type="http://schemas.openxmlformats.org/officeDocument/2006/relationships/drawing" Target="../drawings/drawing34.xml"/><Relationship Id="rId1" Type="http://schemas.openxmlformats.org/officeDocument/2006/relationships/printerSettings" Target="../printerSettings/printerSettings33.bin"/><Relationship Id="rId6" Type="http://schemas.openxmlformats.org/officeDocument/2006/relationships/ctrlProp" Target="../ctrlProps/ctrlProp86.xml"/><Relationship Id="rId5" Type="http://schemas.openxmlformats.org/officeDocument/2006/relationships/ctrlProp" Target="../ctrlProps/ctrlProp85.xml"/><Relationship Id="rId4" Type="http://schemas.openxmlformats.org/officeDocument/2006/relationships/vmlDrawing" Target="../drawings/vmlDrawing56.v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57.vml"/><Relationship Id="rId7" Type="http://schemas.openxmlformats.org/officeDocument/2006/relationships/comments" Target="../comments14.xml"/><Relationship Id="rId2" Type="http://schemas.openxmlformats.org/officeDocument/2006/relationships/drawing" Target="../drawings/drawing35.xml"/><Relationship Id="rId1" Type="http://schemas.openxmlformats.org/officeDocument/2006/relationships/printerSettings" Target="../printerSettings/printerSettings34.bin"/><Relationship Id="rId6" Type="http://schemas.openxmlformats.org/officeDocument/2006/relationships/ctrlProp" Target="../ctrlProps/ctrlProp89.xml"/><Relationship Id="rId5" Type="http://schemas.openxmlformats.org/officeDocument/2006/relationships/ctrlProp" Target="../ctrlProps/ctrlProp88.xml"/><Relationship Id="rId4" Type="http://schemas.openxmlformats.org/officeDocument/2006/relationships/vmlDrawing" Target="../drawings/vmlDrawing58.v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93.xml"/><Relationship Id="rId3" Type="http://schemas.openxmlformats.org/officeDocument/2006/relationships/vmlDrawing" Target="../drawings/vmlDrawing59.vml"/><Relationship Id="rId7" Type="http://schemas.openxmlformats.org/officeDocument/2006/relationships/ctrlProp" Target="../ctrlProps/ctrlProp92.xml"/><Relationship Id="rId2" Type="http://schemas.openxmlformats.org/officeDocument/2006/relationships/drawing" Target="../drawings/drawing36.xml"/><Relationship Id="rId1" Type="http://schemas.openxmlformats.org/officeDocument/2006/relationships/printerSettings" Target="../printerSettings/printerSettings35.bin"/><Relationship Id="rId6" Type="http://schemas.openxmlformats.org/officeDocument/2006/relationships/ctrlProp" Target="../ctrlProps/ctrlProp91.xml"/><Relationship Id="rId5" Type="http://schemas.openxmlformats.org/officeDocument/2006/relationships/ctrlProp" Target="../ctrlProps/ctrlProp90.xml"/><Relationship Id="rId10" Type="http://schemas.openxmlformats.org/officeDocument/2006/relationships/comments" Target="../comments15.xml"/><Relationship Id="rId4" Type="http://schemas.openxmlformats.org/officeDocument/2006/relationships/vmlDrawing" Target="../drawings/vmlDrawing60.vml"/><Relationship Id="rId9" Type="http://schemas.openxmlformats.org/officeDocument/2006/relationships/ctrlProp" Target="../ctrlProps/ctrlProp94.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98.xml"/><Relationship Id="rId3" Type="http://schemas.openxmlformats.org/officeDocument/2006/relationships/vmlDrawing" Target="../drawings/vmlDrawing61.vml"/><Relationship Id="rId7" Type="http://schemas.openxmlformats.org/officeDocument/2006/relationships/ctrlProp" Target="../ctrlProps/ctrlProp97.xml"/><Relationship Id="rId2" Type="http://schemas.openxmlformats.org/officeDocument/2006/relationships/drawing" Target="../drawings/drawing37.xml"/><Relationship Id="rId1" Type="http://schemas.openxmlformats.org/officeDocument/2006/relationships/printerSettings" Target="../printerSettings/printerSettings36.bin"/><Relationship Id="rId6" Type="http://schemas.openxmlformats.org/officeDocument/2006/relationships/ctrlProp" Target="../ctrlProps/ctrlProp96.xml"/><Relationship Id="rId5" Type="http://schemas.openxmlformats.org/officeDocument/2006/relationships/ctrlProp" Target="../ctrlProps/ctrlProp95.xml"/><Relationship Id="rId10" Type="http://schemas.openxmlformats.org/officeDocument/2006/relationships/comments" Target="../comments16.xml"/><Relationship Id="rId4" Type="http://schemas.openxmlformats.org/officeDocument/2006/relationships/vmlDrawing" Target="../drawings/vmlDrawing62.vml"/><Relationship Id="rId9" Type="http://schemas.openxmlformats.org/officeDocument/2006/relationships/ctrlProp" Target="../ctrlProps/ctrlProp99.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103.xml"/><Relationship Id="rId3" Type="http://schemas.openxmlformats.org/officeDocument/2006/relationships/vmlDrawing" Target="../drawings/vmlDrawing63.vml"/><Relationship Id="rId7" Type="http://schemas.openxmlformats.org/officeDocument/2006/relationships/ctrlProp" Target="../ctrlProps/ctrlProp102.xml"/><Relationship Id="rId2" Type="http://schemas.openxmlformats.org/officeDocument/2006/relationships/drawing" Target="../drawings/drawing38.xml"/><Relationship Id="rId1" Type="http://schemas.openxmlformats.org/officeDocument/2006/relationships/printerSettings" Target="../printerSettings/printerSettings37.bin"/><Relationship Id="rId6" Type="http://schemas.openxmlformats.org/officeDocument/2006/relationships/ctrlProp" Target="../ctrlProps/ctrlProp101.xml"/><Relationship Id="rId5" Type="http://schemas.openxmlformats.org/officeDocument/2006/relationships/ctrlProp" Target="../ctrlProps/ctrlProp100.xml"/><Relationship Id="rId4" Type="http://schemas.openxmlformats.org/officeDocument/2006/relationships/vmlDrawing" Target="../drawings/vmlDrawing64.vml"/><Relationship Id="rId9"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107.xml"/><Relationship Id="rId3" Type="http://schemas.openxmlformats.org/officeDocument/2006/relationships/vmlDrawing" Target="../drawings/vmlDrawing65.vml"/><Relationship Id="rId7" Type="http://schemas.openxmlformats.org/officeDocument/2006/relationships/ctrlProp" Target="../ctrlProps/ctrlProp106.xml"/><Relationship Id="rId2" Type="http://schemas.openxmlformats.org/officeDocument/2006/relationships/drawing" Target="../drawings/drawing39.xml"/><Relationship Id="rId1" Type="http://schemas.openxmlformats.org/officeDocument/2006/relationships/printerSettings" Target="../printerSettings/printerSettings38.bin"/><Relationship Id="rId6" Type="http://schemas.openxmlformats.org/officeDocument/2006/relationships/ctrlProp" Target="../ctrlProps/ctrlProp105.xml"/><Relationship Id="rId5" Type="http://schemas.openxmlformats.org/officeDocument/2006/relationships/ctrlProp" Target="../ctrlProps/ctrlProp104.xml"/><Relationship Id="rId4" Type="http://schemas.openxmlformats.org/officeDocument/2006/relationships/vmlDrawing" Target="../drawings/vmlDrawing6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110.xml"/><Relationship Id="rId3" Type="http://schemas.openxmlformats.org/officeDocument/2006/relationships/drawing" Target="../drawings/drawing40.xml"/><Relationship Id="rId7" Type="http://schemas.openxmlformats.org/officeDocument/2006/relationships/ctrlProp" Target="../ctrlProps/ctrlProp109.xml"/><Relationship Id="rId2" Type="http://schemas.openxmlformats.org/officeDocument/2006/relationships/printerSettings" Target="../printerSettings/printerSettings39.bin"/><Relationship Id="rId1" Type="http://schemas.openxmlformats.org/officeDocument/2006/relationships/hyperlink" Target="http://www.slingmax.com/" TargetMode="External"/><Relationship Id="rId6" Type="http://schemas.openxmlformats.org/officeDocument/2006/relationships/ctrlProp" Target="../ctrlProps/ctrlProp108.xml"/><Relationship Id="rId5" Type="http://schemas.openxmlformats.org/officeDocument/2006/relationships/vmlDrawing" Target="../drawings/vmlDrawing68.vml"/><Relationship Id="rId10" Type="http://schemas.openxmlformats.org/officeDocument/2006/relationships/comments" Target="../comments18.xml"/><Relationship Id="rId4" Type="http://schemas.openxmlformats.org/officeDocument/2006/relationships/vmlDrawing" Target="../drawings/vmlDrawing67.vml"/><Relationship Id="rId9" Type="http://schemas.openxmlformats.org/officeDocument/2006/relationships/ctrlProp" Target="../ctrlProps/ctrlProp111.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41.xml"/><Relationship Id="rId1" Type="http://schemas.openxmlformats.org/officeDocument/2006/relationships/printerSettings" Target="../printerSettings/printerSettings40.bin"/><Relationship Id="rId6" Type="http://schemas.openxmlformats.org/officeDocument/2006/relationships/ctrlProp" Target="../ctrlProps/ctrlProp113.xml"/><Relationship Id="rId5" Type="http://schemas.openxmlformats.org/officeDocument/2006/relationships/ctrlProp" Target="../ctrlProps/ctrlProp112.xml"/><Relationship Id="rId4" Type="http://schemas.openxmlformats.org/officeDocument/2006/relationships/vmlDrawing" Target="../drawings/vmlDrawing70.v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42.xml"/><Relationship Id="rId1" Type="http://schemas.openxmlformats.org/officeDocument/2006/relationships/printerSettings" Target="../printerSettings/printerSettings41.bin"/><Relationship Id="rId6" Type="http://schemas.openxmlformats.org/officeDocument/2006/relationships/ctrlProp" Target="../ctrlProps/ctrlProp115.xml"/><Relationship Id="rId5" Type="http://schemas.openxmlformats.org/officeDocument/2006/relationships/ctrlProp" Target="../ctrlProps/ctrlProp114.xml"/><Relationship Id="rId4" Type="http://schemas.openxmlformats.org/officeDocument/2006/relationships/vmlDrawing" Target="../drawings/vmlDrawing72.v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43.xml"/><Relationship Id="rId1" Type="http://schemas.openxmlformats.org/officeDocument/2006/relationships/printerSettings" Target="../printerSettings/printerSettings42.bin"/><Relationship Id="rId5" Type="http://schemas.openxmlformats.org/officeDocument/2006/relationships/ctrlProp" Target="../ctrlProps/ctrlProp116.xml"/><Relationship Id="rId4" Type="http://schemas.openxmlformats.org/officeDocument/2006/relationships/vmlDrawing" Target="../drawings/vmlDrawing74.v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44.xml"/><Relationship Id="rId1" Type="http://schemas.openxmlformats.org/officeDocument/2006/relationships/printerSettings" Target="../printerSettings/printerSettings43.bin"/><Relationship Id="rId5" Type="http://schemas.openxmlformats.org/officeDocument/2006/relationships/ctrlProp" Target="../ctrlProps/ctrlProp117.xml"/><Relationship Id="rId4" Type="http://schemas.openxmlformats.org/officeDocument/2006/relationships/vmlDrawing" Target="../drawings/vmlDrawing76.v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45.xml"/><Relationship Id="rId1" Type="http://schemas.openxmlformats.org/officeDocument/2006/relationships/printerSettings" Target="../printerSettings/printerSettings44.bin"/><Relationship Id="rId5" Type="http://schemas.openxmlformats.org/officeDocument/2006/relationships/ctrlProp" Target="../ctrlProps/ctrlProp118.xml"/><Relationship Id="rId4" Type="http://schemas.openxmlformats.org/officeDocument/2006/relationships/vmlDrawing" Target="../drawings/vmlDrawing78.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8.vml"/><Relationship Id="rId7" Type="http://schemas.openxmlformats.org/officeDocument/2006/relationships/ctrlProp" Target="../ctrlProps/ctrlProp3.xml"/><Relationship Id="rId12" Type="http://schemas.openxmlformats.org/officeDocument/2006/relationships/comments" Target="../comments3.xml"/><Relationship Id="rId2" Type="http://schemas.openxmlformats.org/officeDocument/2006/relationships/drawing" Target="../drawings/drawing9.xml"/><Relationship Id="rId1" Type="http://schemas.openxmlformats.org/officeDocument/2006/relationships/printerSettings" Target="../printerSettings/printerSettings8.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9.vml"/><Relationship Id="rId9"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H32"/>
  <sheetViews>
    <sheetView showGridLines="0" showRowColHeaders="0" workbookViewId="0">
      <selection activeCell="C10" sqref="C10"/>
    </sheetView>
  </sheetViews>
  <sheetFormatPr defaultRowHeight="12.75" x14ac:dyDescent="0.2"/>
  <cols>
    <col min="2" max="2" width="5.7109375" customWidth="1"/>
    <col min="3" max="3" width="18.140625" bestFit="1" customWidth="1"/>
    <col min="4" max="4" width="2.7109375" customWidth="1"/>
    <col min="5" max="5" width="20.42578125" customWidth="1"/>
    <col min="6" max="6" width="8.5703125" customWidth="1"/>
    <col min="7" max="7" width="1.5703125" customWidth="1"/>
    <col min="8" max="8" width="17.28515625" customWidth="1"/>
    <col min="9" max="9" width="9.28515625" customWidth="1"/>
    <col min="10" max="10" width="9.42578125" customWidth="1"/>
  </cols>
  <sheetData>
    <row r="1" spans="1:7" ht="20.25" x14ac:dyDescent="0.3">
      <c r="A1" s="761"/>
      <c r="B1" s="649"/>
      <c r="C1" s="649"/>
      <c r="D1" s="649"/>
      <c r="E1" s="80"/>
    </row>
    <row r="2" spans="1:7" x14ac:dyDescent="0.2">
      <c r="A2" s="80"/>
      <c r="B2" s="80"/>
      <c r="C2" s="80"/>
      <c r="D2" s="80"/>
      <c r="E2" s="80"/>
    </row>
    <row r="3" spans="1:7" x14ac:dyDescent="0.2">
      <c r="A3" s="80"/>
      <c r="B3" s="80"/>
      <c r="C3" s="80"/>
      <c r="D3" s="80"/>
      <c r="E3" s="80"/>
    </row>
    <row r="4" spans="1:7" ht="18.75" customHeight="1" x14ac:dyDescent="0.2">
      <c r="A4" s="80"/>
      <c r="B4" s="80"/>
      <c r="C4" s="80"/>
      <c r="D4" s="80"/>
      <c r="E4" s="80"/>
    </row>
    <row r="5" spans="1:7" x14ac:dyDescent="0.2">
      <c r="A5" s="80"/>
      <c r="B5" s="80"/>
      <c r="C5" s="80"/>
      <c r="D5" s="80"/>
      <c r="E5" s="80"/>
    </row>
    <row r="6" spans="1:7" x14ac:dyDescent="0.2">
      <c r="A6" s="80"/>
      <c r="B6" s="80"/>
      <c r="C6" s="80"/>
      <c r="D6" s="80"/>
      <c r="E6" s="80"/>
    </row>
    <row r="7" spans="1:7" ht="6.75" customHeight="1" x14ac:dyDescent="0.2">
      <c r="A7" s="735"/>
      <c r="B7" s="654"/>
      <c r="C7" s="654"/>
      <c r="D7" s="654"/>
      <c r="E7" s="234"/>
    </row>
    <row r="8" spans="1:7" x14ac:dyDescent="0.2">
      <c r="C8" s="653" t="s">
        <v>894</v>
      </c>
      <c r="D8" s="599"/>
      <c r="E8" s="599"/>
    </row>
    <row r="10" spans="1:7" x14ac:dyDescent="0.2">
      <c r="C10" s="825" t="s">
        <v>1808</v>
      </c>
      <c r="E10" s="767" t="s">
        <v>1564</v>
      </c>
      <c r="G10" s="23"/>
    </row>
    <row r="11" spans="1:7" x14ac:dyDescent="0.2">
      <c r="C11" s="650" t="s">
        <v>1809</v>
      </c>
      <c r="E11" s="651">
        <v>39027</v>
      </c>
    </row>
    <row r="12" spans="1:7" x14ac:dyDescent="0.2">
      <c r="C12" s="650" t="s">
        <v>1810</v>
      </c>
      <c r="E12" s="652" t="s">
        <v>1811</v>
      </c>
      <c r="G12" s="23"/>
    </row>
    <row r="13" spans="1:7" x14ac:dyDescent="0.2">
      <c r="C13" s="826"/>
      <c r="E13" s="811"/>
    </row>
    <row r="14" spans="1:7" x14ac:dyDescent="0.2">
      <c r="C14" s="51" t="s">
        <v>1812</v>
      </c>
      <c r="E14" s="733" t="str">
        <f>x!H13</f>
        <v>LIMITED EVALUATION COPY</v>
      </c>
    </row>
    <row r="15" spans="1:7" ht="15.75" customHeight="1" x14ac:dyDescent="0.2">
      <c r="C15" s="51" t="s">
        <v>1669</v>
      </c>
      <c r="E15" s="700" t="str">
        <f>x!H14</f>
        <v>EVALUATION COPY</v>
      </c>
    </row>
    <row r="16" spans="1:7" x14ac:dyDescent="0.2">
      <c r="C16" s="381"/>
      <c r="E16" s="700" t="str">
        <f>x!H15</f>
        <v>Single User Copy</v>
      </c>
    </row>
    <row r="17" spans="1:8" x14ac:dyDescent="0.2">
      <c r="D17" s="25"/>
      <c r="E17" s="25"/>
    </row>
    <row r="18" spans="1:8" ht="15" customHeight="1" x14ac:dyDescent="0.2">
      <c r="A18" s="841" t="s">
        <v>1678</v>
      </c>
      <c r="B18" s="841"/>
      <c r="C18" s="836" t="str">
        <f>IF($A$19&lt;1,"&lt;&lt;&lt;&lt; click here to start your 30 day evaluation","                                  EVALUATION PERIOD ENDS ON:")</f>
        <v xml:space="preserve">                                  EVALUATION PERIOD ENDS ON:</v>
      </c>
      <c r="D18" s="837"/>
      <c r="E18" s="837"/>
      <c r="F18" s="838">
        <f>IF($A$19&lt;1," ",x!D14)</f>
        <v>39087</v>
      </c>
      <c r="G18" s="838"/>
      <c r="H18" s="838"/>
    </row>
    <row r="19" spans="1:8" ht="14.25" customHeight="1" x14ac:dyDescent="0.2">
      <c r="A19" s="760">
        <f>x!N13</f>
        <v>1</v>
      </c>
      <c r="B19" s="842" t="s">
        <v>1813</v>
      </c>
      <c r="C19" s="842"/>
      <c r="D19" s="833" t="s">
        <v>1814</v>
      </c>
      <c r="E19" s="833"/>
      <c r="F19" s="833"/>
      <c r="G19" s="833"/>
      <c r="H19" s="833"/>
    </row>
    <row r="20" spans="1:8" x14ac:dyDescent="0.2">
      <c r="A20" s="758"/>
      <c r="D20" s="835" t="s">
        <v>1088</v>
      </c>
      <c r="E20" s="835"/>
      <c r="F20" s="835"/>
      <c r="G20" s="834" t="s">
        <v>1087</v>
      </c>
      <c r="H20" s="834"/>
    </row>
    <row r="23" spans="1:8" x14ac:dyDescent="0.2">
      <c r="A23" s="839"/>
      <c r="B23" s="839"/>
      <c r="C23" s="840"/>
      <c r="D23" s="840"/>
      <c r="E23" s="70"/>
    </row>
    <row r="24" spans="1:8" x14ac:dyDescent="0.2">
      <c r="A24" s="839"/>
      <c r="B24" s="839"/>
      <c r="C24" s="840"/>
      <c r="D24" s="840"/>
      <c r="E24" s="70"/>
    </row>
    <row r="26" spans="1:8" x14ac:dyDescent="0.2">
      <c r="B26" s="631"/>
      <c r="C26" s="631"/>
      <c r="D26" s="632"/>
      <c r="E26" s="80"/>
    </row>
    <row r="32" spans="1:8" ht="15.75" customHeight="1" x14ac:dyDescent="0.2">
      <c r="E32" s="458"/>
      <c r="F32" s="458"/>
      <c r="G32" s="7"/>
    </row>
  </sheetData>
  <sheetProtection password="C59E" sheet="1" objects="1" scenarios="1" selectLockedCells="1"/>
  <mergeCells count="11">
    <mergeCell ref="A24:B24"/>
    <mergeCell ref="A23:B23"/>
    <mergeCell ref="C23:D23"/>
    <mergeCell ref="C24:D24"/>
    <mergeCell ref="A18:B18"/>
    <mergeCell ref="B19:C19"/>
    <mergeCell ref="D19:H19"/>
    <mergeCell ref="G20:H20"/>
    <mergeCell ref="D20:F20"/>
    <mergeCell ref="C18:E18"/>
    <mergeCell ref="F18:H18"/>
  </mergeCells>
  <phoneticPr fontId="15" type="noConversion"/>
  <conditionalFormatting sqref="C18:E18">
    <cfRule type="expression" dxfId="192" priority="1" stopIfTrue="1">
      <formula>($A$19&lt;3)</formula>
    </cfRule>
  </conditionalFormatting>
  <conditionalFormatting sqref="F18:H18">
    <cfRule type="expression" dxfId="191" priority="2" stopIfTrue="1">
      <formula>($A$19&lt;3)</formula>
    </cfRule>
  </conditionalFormatting>
  <conditionalFormatting sqref="A18:B18">
    <cfRule type="expression" dxfId="190" priority="3" stopIfTrue="1">
      <formula>($A$19&lt;3)</formula>
    </cfRule>
  </conditionalFormatting>
  <hyperlinks>
    <hyperlink ref="G20" r:id="rId1"/>
    <hyperlink ref="A18:B18" location="x!C7" tooltip="Click here to begin the 30 day evaluation" display="REGISTER"/>
    <hyperlink ref="G20:H20" r:id="rId2" display="www.acratech.com"/>
    <hyperlink ref="C10" location="release_notes!A1" tooltip="View Release History" display="Release Number:"/>
  </hyperlinks>
  <printOptions horizontalCentered="1"/>
  <pageMargins left="0.75" right="0.75" top="1" bottom="1.5" header="0.5" footer="0.5"/>
  <pageSetup orientation="portrait" horizontalDpi="0" verticalDpi="0" r:id="rId3"/>
  <headerFooter alignWithMargins="0">
    <oddFooter>&amp;C&amp;G</oddFooter>
  </headerFooter>
  <drawing r:id="rId4"/>
  <legacyDrawingHF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30"/>
  <sheetViews>
    <sheetView showRowColHeaders="0" workbookViewId="0">
      <selection activeCell="C3" sqref="C3"/>
    </sheetView>
  </sheetViews>
  <sheetFormatPr defaultRowHeight="12.75" x14ac:dyDescent="0.2"/>
  <cols>
    <col min="1" max="1" width="15.7109375" style="25" customWidth="1"/>
    <col min="2" max="2" width="6.85546875" style="25" customWidth="1"/>
    <col min="3" max="3" width="14.140625" style="25" customWidth="1"/>
    <col min="4" max="4" width="11.7109375" style="25" customWidth="1"/>
    <col min="5" max="16384" width="9.140625" style="25"/>
  </cols>
  <sheetData>
    <row r="1" spans="1:9" x14ac:dyDescent="0.2">
      <c r="A1" s="23"/>
      <c r="E1" s="55">
        <v>1</v>
      </c>
    </row>
    <row r="2" spans="1:9" ht="15.75" thickBot="1" x14ac:dyDescent="0.3">
      <c r="A2" s="26"/>
      <c r="C2" s="45" t="str">
        <f>IF(E1=1,"FEET","METER")</f>
        <v>FEET</v>
      </c>
      <c r="D2" s="45" t="str">
        <f>IF(E1=1,"inches","cm")</f>
        <v>inches</v>
      </c>
      <c r="E2" s="52" t="s">
        <v>2099</v>
      </c>
      <c r="F2" s="52" t="s">
        <v>698</v>
      </c>
      <c r="H2" s="27"/>
    </row>
    <row r="3" spans="1:9" ht="15.75" thickBot="1" x14ac:dyDescent="0.3">
      <c r="B3" s="28" t="s">
        <v>2094</v>
      </c>
      <c r="C3" s="361">
        <v>1</v>
      </c>
      <c r="D3" s="361">
        <v>6</v>
      </c>
      <c r="E3" s="52">
        <f>(C3*12)+D3</f>
        <v>18</v>
      </c>
      <c r="F3" s="53">
        <f>(C3*39.37)+(D3*0.3936996)</f>
        <v>41.732197599999999</v>
      </c>
    </row>
    <row r="4" spans="1:9" ht="15.75" thickBot="1" x14ac:dyDescent="0.3">
      <c r="B4" s="28" t="s">
        <v>2051</v>
      </c>
      <c r="C4" s="361">
        <v>0</v>
      </c>
      <c r="D4" s="361">
        <v>42</v>
      </c>
      <c r="E4" s="52">
        <f>(C4*12)+D4</f>
        <v>42</v>
      </c>
      <c r="F4" s="53">
        <f>(C4*39.37)+(D4*0.3936996)</f>
        <v>16.535383199999998</v>
      </c>
    </row>
    <row r="5" spans="1:9" ht="15" x14ac:dyDescent="0.25">
      <c r="B5" s="28"/>
      <c r="C5" s="704"/>
      <c r="D5" s="704"/>
      <c r="E5" s="52"/>
      <c r="F5" s="53"/>
    </row>
    <row r="6" spans="1:9" ht="13.5" thickBot="1" x14ac:dyDescent="0.25">
      <c r="C6" s="29"/>
      <c r="E6" s="52"/>
      <c r="F6" s="54"/>
    </row>
    <row r="7" spans="1:9" ht="13.5" thickBot="1" x14ac:dyDescent="0.25">
      <c r="B7" s="30" t="s">
        <v>1958</v>
      </c>
      <c r="C7" s="557">
        <f>IF(E1=1,(0.7854*E3*E3*E4),(0.7854*F3*F3*F4))</f>
        <v>10687.7232</v>
      </c>
      <c r="D7" s="27" t="s">
        <v>2098</v>
      </c>
    </row>
    <row r="8" spans="1:9" ht="14.25" x14ac:dyDescent="0.2">
      <c r="B8" s="31"/>
      <c r="C8" s="552" t="str">
        <f>IF(E1=2,C7*(2.54)^3,"")</f>
        <v/>
      </c>
      <c r="D8" s="27" t="str">
        <f>IF(E1=2,"cubic centimeters","")</f>
        <v/>
      </c>
      <c r="E8" s="27"/>
    </row>
    <row r="9" spans="1:9" ht="14.25" x14ac:dyDescent="0.2">
      <c r="B9" s="31"/>
      <c r="C9" s="31"/>
      <c r="D9" s="32"/>
    </row>
    <row r="10" spans="1:9" x14ac:dyDescent="0.2">
      <c r="A10" s="33"/>
    </row>
    <row r="11" spans="1:9" x14ac:dyDescent="0.2">
      <c r="C11" s="885" t="str">
        <f>IF(MASTERSWITCH=1,"EVALUATION PERIOD EXPIRED!","")</f>
        <v/>
      </c>
      <c r="D11" s="885"/>
      <c r="E11" s="885"/>
    </row>
    <row r="12" spans="1:9" x14ac:dyDescent="0.2">
      <c r="A12" s="34"/>
      <c r="C12" s="885" t="str">
        <f>IF(MASTERSWITCH=1,"PLEASE PURCHASE LICENSE TO","")</f>
        <v/>
      </c>
      <c r="D12" s="885"/>
      <c r="E12" s="885"/>
      <c r="F12" s="56"/>
      <c r="G12" s="56"/>
    </row>
    <row r="13" spans="1:9" x14ac:dyDescent="0.2">
      <c r="C13" s="885" t="str">
        <f>IF(MASTERSWITCH=1,"CONTINUE USING THIS PROGRAM","")</f>
        <v/>
      </c>
      <c r="D13" s="885"/>
      <c r="E13" s="885"/>
      <c r="G13" s="56"/>
    </row>
    <row r="14" spans="1:9" x14ac:dyDescent="0.2">
      <c r="G14" s="56"/>
    </row>
    <row r="16" spans="1:9" ht="13.5" thickBot="1" x14ac:dyDescent="0.25">
      <c r="F16" s="701"/>
      <c r="G16" s="701"/>
      <c r="H16" s="701"/>
      <c r="I16" s="701"/>
    </row>
    <row r="17" spans="1:9" ht="15.75" thickBot="1" x14ac:dyDescent="0.25">
      <c r="B17" s="37" t="s">
        <v>1960</v>
      </c>
      <c r="C17" s="558">
        <f>IF(E20=1,E17,SUM(E17)*(0.4536))</f>
        <v>891</v>
      </c>
      <c r="D17" s="33" t="str">
        <f>IF(E20=1,"Pounds","Kilograms")</f>
        <v>Pounds</v>
      </c>
      <c r="E17" s="56">
        <f>ROUNDUP(($C$7*C20),0)</f>
        <v>891</v>
      </c>
      <c r="F17" s="38"/>
      <c r="G17" s="38"/>
      <c r="H17" s="38"/>
      <c r="I17" s="38"/>
    </row>
    <row r="18" spans="1:9" ht="15.75" thickBot="1" x14ac:dyDescent="0.25">
      <c r="B18" s="37" t="s">
        <v>1960</v>
      </c>
      <c r="C18" s="556">
        <f>IF(E20=1,E17/2000,E17/2205)</f>
        <v>0.44550000000000001</v>
      </c>
      <c r="D18" s="39" t="str">
        <f>IF(E20=1,"ton(s)","metric ton(s)")</f>
        <v>ton(s)</v>
      </c>
    </row>
    <row r="20" spans="1:9" x14ac:dyDescent="0.2">
      <c r="A20" s="886" t="s">
        <v>1963</v>
      </c>
      <c r="B20" s="886"/>
      <c r="C20" s="40">
        <f>LOOKUP(D20,LUweight)</f>
        <v>8.3333333333333329E-2</v>
      </c>
      <c r="D20" s="41">
        <v>8</v>
      </c>
      <c r="E20" s="35">
        <v>1</v>
      </c>
    </row>
    <row r="21" spans="1:9" x14ac:dyDescent="0.2">
      <c r="D21" s="35"/>
      <c r="E21" s="42"/>
    </row>
    <row r="25" spans="1:9" ht="13.5" thickBot="1" x14ac:dyDescent="0.25">
      <c r="A25" s="884" t="s">
        <v>2093</v>
      </c>
      <c r="B25" s="884"/>
    </row>
    <row r="26" spans="1:9" x14ac:dyDescent="0.2">
      <c r="B26" s="874"/>
      <c r="C26" s="875"/>
      <c r="D26" s="875"/>
      <c r="E26" s="875"/>
      <c r="F26" s="875"/>
      <c r="G26" s="875"/>
      <c r="H26" s="875"/>
      <c r="I26" s="876"/>
    </row>
    <row r="27" spans="1:9" x14ac:dyDescent="0.2">
      <c r="B27" s="877"/>
      <c r="C27" s="878"/>
      <c r="D27" s="878"/>
      <c r="E27" s="878"/>
      <c r="F27" s="878"/>
      <c r="G27" s="878"/>
      <c r="H27" s="878"/>
      <c r="I27" s="879"/>
    </row>
    <row r="28" spans="1:9" x14ac:dyDescent="0.2">
      <c r="B28" s="877"/>
      <c r="C28" s="878"/>
      <c r="D28" s="878"/>
      <c r="E28" s="878"/>
      <c r="F28" s="878"/>
      <c r="G28" s="878"/>
      <c r="H28" s="878"/>
      <c r="I28" s="879"/>
    </row>
    <row r="29" spans="1:9" x14ac:dyDescent="0.2">
      <c r="B29" s="877"/>
      <c r="C29" s="878"/>
      <c r="D29" s="878"/>
      <c r="E29" s="878"/>
      <c r="F29" s="878"/>
      <c r="G29" s="878"/>
      <c r="H29" s="878"/>
      <c r="I29" s="879"/>
    </row>
    <row r="30" spans="1:9" ht="13.5" thickBot="1" x14ac:dyDescent="0.25">
      <c r="B30" s="880"/>
      <c r="C30" s="881"/>
      <c r="D30" s="881"/>
      <c r="E30" s="881"/>
      <c r="F30" s="881"/>
      <c r="G30" s="881"/>
      <c r="H30" s="881"/>
      <c r="I30" s="882"/>
    </row>
  </sheetData>
  <sheetProtection password="D809" sheet="1" objects="1" scenarios="1" selectLockedCells="1"/>
  <mergeCells count="6">
    <mergeCell ref="B26:I30"/>
    <mergeCell ref="A20:B20"/>
    <mergeCell ref="A25:B25"/>
    <mergeCell ref="C11:E11"/>
    <mergeCell ref="C12:E12"/>
    <mergeCell ref="C13:E13"/>
  </mergeCells>
  <phoneticPr fontId="15" type="noConversion"/>
  <conditionalFormatting sqref="D17">
    <cfRule type="cellIs" dxfId="183" priority="1" stopIfTrue="1" operator="equal">
      <formula>"Kilograms"</formula>
    </cfRule>
  </conditionalFormatting>
  <conditionalFormatting sqref="D18">
    <cfRule type="cellIs" dxfId="182" priority="2" stopIfTrue="1" operator="equal">
      <formula>"metric ton(s)"</formula>
    </cfRule>
  </conditionalFormatting>
  <conditionalFormatting sqref="C2">
    <cfRule type="cellIs" dxfId="181" priority="3" stopIfTrue="1" operator="equal">
      <formula>"METER"</formula>
    </cfRule>
  </conditionalFormatting>
  <conditionalFormatting sqref="D2">
    <cfRule type="cellIs" dxfId="180" priority="4" stopIfTrue="1" operator="equal">
      <formula>"cm"</formula>
    </cfRule>
  </conditionalFormatting>
  <conditionalFormatting sqref="C3:D4">
    <cfRule type="expression" dxfId="179" priority="5" stopIfTrue="1">
      <formula>(MASTERSWITCH=1)</formula>
    </cfRule>
  </conditionalFormatting>
  <conditionalFormatting sqref="C11:E13">
    <cfRule type="expression" dxfId="178" priority="6" stopIfTrue="1">
      <formula>(MASTERSWITCH=1)</formula>
    </cfRule>
  </conditionalFormatting>
  <hyperlinks>
    <hyperlink ref="A20:B20" location="Weights!A1" display="  Material type ="/>
  </hyperlinks>
  <pageMargins left="0.75" right="0.75" top="1.75" bottom="1.5" header="0.5" footer="0.5"/>
  <pageSetup scale="86" orientation="portrait" horizontalDpi="0" verticalDpi="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1745" r:id="rId5" name="Drop Down 1">
              <controlPr locked="0" defaultSize="0" autoFill="0" autoLine="0" autoPict="0">
                <anchor moveWithCells="1">
                  <from>
                    <xdr:col>2</xdr:col>
                    <xdr:colOff>57150</xdr:colOff>
                    <xdr:row>18</xdr:row>
                    <xdr:rowOff>123825</xdr:rowOff>
                  </from>
                  <to>
                    <xdr:col>5</xdr:col>
                    <xdr:colOff>285750</xdr:colOff>
                    <xdr:row>20</xdr:row>
                    <xdr:rowOff>19050</xdr:rowOff>
                  </to>
                </anchor>
              </controlPr>
            </control>
          </mc:Choice>
        </mc:AlternateContent>
        <mc:AlternateContent xmlns:mc="http://schemas.openxmlformats.org/markup-compatibility/2006">
          <mc:Choice Requires="x14">
            <control shapeId="31749" r:id="rId6" name="Option Button 5">
              <controlPr locked="0" defaultSize="0" autoFill="0" autoLine="0" autoPict="0">
                <anchor moveWithCells="1" sizeWithCells="1">
                  <from>
                    <xdr:col>4</xdr:col>
                    <xdr:colOff>247650</xdr:colOff>
                    <xdr:row>15</xdr:row>
                    <xdr:rowOff>114300</xdr:rowOff>
                  </from>
                  <to>
                    <xdr:col>5</xdr:col>
                    <xdr:colOff>514350</xdr:colOff>
                    <xdr:row>16</xdr:row>
                    <xdr:rowOff>161925</xdr:rowOff>
                  </to>
                </anchor>
              </controlPr>
            </control>
          </mc:Choice>
        </mc:AlternateContent>
        <mc:AlternateContent xmlns:mc="http://schemas.openxmlformats.org/markup-compatibility/2006">
          <mc:Choice Requires="x14">
            <control shapeId="31750" r:id="rId7" name="Option Button 6">
              <controlPr locked="0" defaultSize="0" autoFill="0" autoLine="0" autoPict="0">
                <anchor moveWithCells="1" sizeWithCells="1">
                  <from>
                    <xdr:col>4</xdr:col>
                    <xdr:colOff>238125</xdr:colOff>
                    <xdr:row>16</xdr:row>
                    <xdr:rowOff>123825</xdr:rowOff>
                  </from>
                  <to>
                    <xdr:col>5</xdr:col>
                    <xdr:colOff>400050</xdr:colOff>
                    <xdr:row>17</xdr:row>
                    <xdr:rowOff>142875</xdr:rowOff>
                  </to>
                </anchor>
              </controlPr>
            </control>
          </mc:Choice>
        </mc:AlternateContent>
        <mc:AlternateContent xmlns:mc="http://schemas.openxmlformats.org/markup-compatibility/2006">
          <mc:Choice Requires="x14">
            <control shapeId="31751" r:id="rId8" name="Group Box 7">
              <controlPr locked="0" defaultSize="0" autoFill="0" autoPict="0" altText="Display Units">
                <anchor moveWithCells="1" sizeWithCells="1">
                  <from>
                    <xdr:col>4</xdr:col>
                    <xdr:colOff>171450</xdr:colOff>
                    <xdr:row>15</xdr:row>
                    <xdr:rowOff>47625</xdr:rowOff>
                  </from>
                  <to>
                    <xdr:col>5</xdr:col>
                    <xdr:colOff>523875</xdr:colOff>
                    <xdr:row>17</xdr:row>
                    <xdr:rowOff>152400</xdr:rowOff>
                  </to>
                </anchor>
              </controlPr>
            </control>
          </mc:Choice>
        </mc:AlternateContent>
        <mc:AlternateContent xmlns:mc="http://schemas.openxmlformats.org/markup-compatibility/2006">
          <mc:Choice Requires="x14">
            <control shapeId="31755" r:id="rId9" name="Option Button 11">
              <controlPr defaultSize="0" autoFill="0" autoLine="0" autoPict="0">
                <anchor moveWithCells="1" sizeWithCells="1">
                  <from>
                    <xdr:col>4</xdr:col>
                    <xdr:colOff>161925</xdr:colOff>
                    <xdr:row>2</xdr:row>
                    <xdr:rowOff>19050</xdr:rowOff>
                  </from>
                  <to>
                    <xdr:col>4</xdr:col>
                    <xdr:colOff>600075</xdr:colOff>
                    <xdr:row>3</xdr:row>
                    <xdr:rowOff>38100</xdr:rowOff>
                  </to>
                </anchor>
              </controlPr>
            </control>
          </mc:Choice>
        </mc:AlternateContent>
        <mc:AlternateContent xmlns:mc="http://schemas.openxmlformats.org/markup-compatibility/2006">
          <mc:Choice Requires="x14">
            <control shapeId="31756" r:id="rId10" name="Option Button 12">
              <controlPr defaultSize="0" autoFill="0" autoLine="0" autoPict="0">
                <anchor moveWithCells="1" sizeWithCells="1">
                  <from>
                    <xdr:col>4</xdr:col>
                    <xdr:colOff>581025</xdr:colOff>
                    <xdr:row>2</xdr:row>
                    <xdr:rowOff>19050</xdr:rowOff>
                  </from>
                  <to>
                    <xdr:col>5</xdr:col>
                    <xdr:colOff>514350</xdr:colOff>
                    <xdr:row>3</xdr:row>
                    <xdr:rowOff>38100</xdr:rowOff>
                  </to>
                </anchor>
              </controlPr>
            </control>
          </mc:Choice>
        </mc:AlternateContent>
        <mc:AlternateContent xmlns:mc="http://schemas.openxmlformats.org/markup-compatibility/2006">
          <mc:Choice Requires="x14">
            <control shapeId="31757" r:id="rId11" name="Group Box 13">
              <controlPr defaultSize="0" autoFill="0" autoPict="0">
                <anchor moveWithCells="1" sizeWithCells="1">
                  <from>
                    <xdr:col>4</xdr:col>
                    <xdr:colOff>123825</xdr:colOff>
                    <xdr:row>1</xdr:row>
                    <xdr:rowOff>171450</xdr:rowOff>
                  </from>
                  <to>
                    <xdr:col>5</xdr:col>
                    <xdr:colOff>590550</xdr:colOff>
                    <xdr:row>3</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J30"/>
  <sheetViews>
    <sheetView showRowColHeaders="0" workbookViewId="0">
      <selection activeCell="B20" sqref="B20:C20"/>
    </sheetView>
  </sheetViews>
  <sheetFormatPr defaultRowHeight="12.75" x14ac:dyDescent="0.2"/>
  <cols>
    <col min="1" max="1" width="14.42578125" style="25" customWidth="1"/>
    <col min="2" max="2" width="12.42578125" style="25" customWidth="1"/>
    <col min="3" max="3" width="6.85546875" style="25" customWidth="1"/>
    <col min="4" max="4" width="14.140625" style="25" customWidth="1"/>
    <col min="5" max="5" width="11.7109375" style="25" customWidth="1"/>
    <col min="6" max="16384" width="9.140625" style="25"/>
  </cols>
  <sheetData>
    <row r="1" spans="1:10" x14ac:dyDescent="0.2">
      <c r="A1" s="812"/>
      <c r="B1" s="396"/>
      <c r="F1" s="55">
        <v>1</v>
      </c>
    </row>
    <row r="2" spans="1:10" ht="15.75" thickBot="1" x14ac:dyDescent="0.3">
      <c r="A2" s="26"/>
      <c r="B2" s="26"/>
      <c r="D2" s="45" t="str">
        <f>IF(F1=1,"FEET","METER")</f>
        <v>FEET</v>
      </c>
      <c r="E2" s="45" t="str">
        <f>IF(F1=1,"inches","cm")</f>
        <v>inches</v>
      </c>
      <c r="F2" s="52" t="s">
        <v>2099</v>
      </c>
      <c r="G2" s="52" t="s">
        <v>698</v>
      </c>
      <c r="I2" s="27"/>
    </row>
    <row r="3" spans="1:10" ht="15.75" thickBot="1" x14ac:dyDescent="0.3">
      <c r="C3" s="51" t="s">
        <v>2095</v>
      </c>
      <c r="D3" s="361">
        <v>0</v>
      </c>
      <c r="E3" s="361">
        <v>1.5</v>
      </c>
      <c r="F3" s="52">
        <f>(D3*12)+E3</f>
        <v>1.5</v>
      </c>
      <c r="G3" s="53">
        <f>(D3*39.37)+(E3*0.3936996)</f>
        <v>0.5905494</v>
      </c>
    </row>
    <row r="4" spans="1:10" ht="15.75" thickBot="1" x14ac:dyDescent="0.3">
      <c r="C4" s="42" t="s">
        <v>2096</v>
      </c>
      <c r="D4" s="361">
        <v>4</v>
      </c>
      <c r="E4" s="361">
        <v>0</v>
      </c>
      <c r="F4" s="52">
        <f>(D4*12)+E4</f>
        <v>48</v>
      </c>
      <c r="G4" s="53">
        <f>(D4*39.37)+(E4*0.3936996)</f>
        <v>157.47999999999999</v>
      </c>
    </row>
    <row r="5" spans="1:10" ht="15.75" thickBot="1" x14ac:dyDescent="0.3">
      <c r="C5" s="42" t="s">
        <v>2097</v>
      </c>
      <c r="D5" s="361">
        <v>0</v>
      </c>
      <c r="E5" s="361">
        <v>18</v>
      </c>
      <c r="F5" s="52">
        <f>(D5*12)+E5</f>
        <v>18</v>
      </c>
      <c r="G5" s="53">
        <f>(D5*39.37)+(E5*0.3936996)</f>
        <v>7.0865928</v>
      </c>
    </row>
    <row r="6" spans="1:10" ht="13.5" thickBot="1" x14ac:dyDescent="0.25">
      <c r="D6" s="29"/>
      <c r="F6" s="52">
        <f>F3*(F5-F3)*3.141*F4</f>
        <v>3731.5079999999998</v>
      </c>
      <c r="G6" s="52">
        <f>G3*(G5-G3)*3.141*G4</f>
        <v>1897.5730026067629</v>
      </c>
    </row>
    <row r="7" spans="1:10" ht="13.5" thickBot="1" x14ac:dyDescent="0.25">
      <c r="C7" s="30" t="s">
        <v>1958</v>
      </c>
      <c r="D7" s="557">
        <f>IF(F1=1,F6,G6)</f>
        <v>3731.5079999999998</v>
      </c>
      <c r="E7" s="27" t="s">
        <v>2098</v>
      </c>
    </row>
    <row r="8" spans="1:10" ht="14.25" x14ac:dyDescent="0.2">
      <c r="C8" s="31"/>
      <c r="D8" s="246" t="str">
        <f>IF(F1=2,D7*(2.54)^3,"")</f>
        <v/>
      </c>
      <c r="E8" s="27" t="str">
        <f>IF(F1=2,"cubic centimeters","")</f>
        <v/>
      </c>
      <c r="F8" s="27"/>
    </row>
    <row r="9" spans="1:10" ht="14.25" x14ac:dyDescent="0.2">
      <c r="C9" s="31"/>
      <c r="D9" s="31"/>
      <c r="E9" s="32"/>
    </row>
    <row r="10" spans="1:10" x14ac:dyDescent="0.2">
      <c r="B10" s="33"/>
    </row>
    <row r="11" spans="1:10" x14ac:dyDescent="0.2">
      <c r="B11" s="885" t="str">
        <f>IF(MASTERSWITCH=1,"EVALUATION PERIOD EXPIRED!","")</f>
        <v/>
      </c>
      <c r="C11" s="885"/>
      <c r="D11" s="885"/>
    </row>
    <row r="12" spans="1:10" x14ac:dyDescent="0.2">
      <c r="B12" s="885" t="str">
        <f>IF(MASTERSWITCH=1,"PLEASE PURCHASE LICENSE TO","")</f>
        <v/>
      </c>
      <c r="C12" s="885"/>
      <c r="D12" s="885"/>
      <c r="G12" s="56"/>
      <c r="H12" s="56"/>
    </row>
    <row r="13" spans="1:10" x14ac:dyDescent="0.2">
      <c r="B13" s="885" t="str">
        <f>IF(MASTERSWITCH=1,"CONTINUE USING THIS PROGRAM","")</f>
        <v/>
      </c>
      <c r="C13" s="885"/>
      <c r="D13" s="885"/>
      <c r="G13" s="56"/>
      <c r="H13" s="56"/>
    </row>
    <row r="16" spans="1:10" ht="13.5" thickBot="1" x14ac:dyDescent="0.25">
      <c r="G16" s="36"/>
      <c r="H16" s="36"/>
      <c r="I16" s="36"/>
      <c r="J16" s="36"/>
    </row>
    <row r="17" spans="2:10" ht="15.75" thickBot="1" x14ac:dyDescent="0.25">
      <c r="C17" s="37" t="s">
        <v>1960</v>
      </c>
      <c r="D17" s="558">
        <f>IF(F20=1,F17,SUM(F17)*(0.4536))</f>
        <v>1059</v>
      </c>
      <c r="E17" s="33" t="str">
        <f>IF(F20=1,"Pounds","Kilograms")</f>
        <v>Pounds</v>
      </c>
      <c r="F17" s="56">
        <f>ROUNDUP(($D$7*D20),0)</f>
        <v>1059</v>
      </c>
      <c r="G17" s="38"/>
      <c r="H17" s="38"/>
      <c r="I17" s="38"/>
      <c r="J17" s="38"/>
    </row>
    <row r="18" spans="2:10" ht="15.75" thickBot="1" x14ac:dyDescent="0.25">
      <c r="C18" s="37" t="s">
        <v>1960</v>
      </c>
      <c r="D18" s="556">
        <f>IF(F20=1,F17/2000,F17/2205)</f>
        <v>0.52949999999999997</v>
      </c>
      <c r="E18" s="39" t="str">
        <f>IF(F20=1,"ton(s)","metric ton(s)")</f>
        <v>ton(s)</v>
      </c>
    </row>
    <row r="20" spans="2:10" x14ac:dyDescent="0.2">
      <c r="B20" s="886" t="s">
        <v>1963</v>
      </c>
      <c r="C20" s="886"/>
      <c r="D20" s="40">
        <f>LOOKUP(E20,LUweight)</f>
        <v>0.28356481481481483</v>
      </c>
      <c r="E20" s="41">
        <v>18</v>
      </c>
      <c r="F20" s="35">
        <v>1</v>
      </c>
    </row>
    <row r="21" spans="2:10" x14ac:dyDescent="0.2">
      <c r="E21" s="35"/>
      <c r="F21" s="42"/>
    </row>
    <row r="25" spans="2:10" ht="13.5" thickBot="1" x14ac:dyDescent="0.25">
      <c r="B25" s="884" t="s">
        <v>2093</v>
      </c>
      <c r="C25" s="884"/>
    </row>
    <row r="26" spans="2:10" x14ac:dyDescent="0.2">
      <c r="C26" s="874"/>
      <c r="D26" s="875"/>
      <c r="E26" s="875"/>
      <c r="F26" s="875"/>
      <c r="G26" s="875"/>
      <c r="H26" s="875"/>
      <c r="I26" s="875"/>
      <c r="J26" s="876"/>
    </row>
    <row r="27" spans="2:10" x14ac:dyDescent="0.2">
      <c r="C27" s="877"/>
      <c r="D27" s="878"/>
      <c r="E27" s="878"/>
      <c r="F27" s="878"/>
      <c r="G27" s="878"/>
      <c r="H27" s="878"/>
      <c r="I27" s="878"/>
      <c r="J27" s="879"/>
    </row>
    <row r="28" spans="2:10" x14ac:dyDescent="0.2">
      <c r="C28" s="877"/>
      <c r="D28" s="878"/>
      <c r="E28" s="878"/>
      <c r="F28" s="878"/>
      <c r="G28" s="878"/>
      <c r="H28" s="878"/>
      <c r="I28" s="878"/>
      <c r="J28" s="879"/>
    </row>
    <row r="29" spans="2:10" x14ac:dyDescent="0.2">
      <c r="C29" s="877"/>
      <c r="D29" s="878"/>
      <c r="E29" s="878"/>
      <c r="F29" s="878"/>
      <c r="G29" s="878"/>
      <c r="H29" s="878"/>
      <c r="I29" s="878"/>
      <c r="J29" s="879"/>
    </row>
    <row r="30" spans="2:10" ht="13.5" thickBot="1" x14ac:dyDescent="0.25">
      <c r="C30" s="880"/>
      <c r="D30" s="881"/>
      <c r="E30" s="881"/>
      <c r="F30" s="881"/>
      <c r="G30" s="881"/>
      <c r="H30" s="881"/>
      <c r="I30" s="881"/>
      <c r="J30" s="882"/>
    </row>
  </sheetData>
  <sheetProtection password="D809" sheet="1" objects="1" scenarios="1" selectLockedCells="1"/>
  <mergeCells count="6">
    <mergeCell ref="C26:J30"/>
    <mergeCell ref="B20:C20"/>
    <mergeCell ref="B25:C25"/>
    <mergeCell ref="B11:D11"/>
    <mergeCell ref="B12:D12"/>
    <mergeCell ref="B13:D13"/>
  </mergeCells>
  <phoneticPr fontId="15" type="noConversion"/>
  <conditionalFormatting sqref="E17">
    <cfRule type="cellIs" dxfId="177" priority="1" stopIfTrue="1" operator="equal">
      <formula>"Kilograms"</formula>
    </cfRule>
  </conditionalFormatting>
  <conditionalFormatting sqref="E18">
    <cfRule type="cellIs" dxfId="176" priority="2" stopIfTrue="1" operator="equal">
      <formula>"metric ton(s)"</formula>
    </cfRule>
  </conditionalFormatting>
  <conditionalFormatting sqref="D2">
    <cfRule type="cellIs" dxfId="175" priority="3" stopIfTrue="1" operator="equal">
      <formula>"METER"</formula>
    </cfRule>
  </conditionalFormatting>
  <conditionalFormatting sqref="E2">
    <cfRule type="cellIs" dxfId="174" priority="4" stopIfTrue="1" operator="equal">
      <formula>"cm"</formula>
    </cfRule>
  </conditionalFormatting>
  <conditionalFormatting sqref="D3:E5">
    <cfRule type="expression" dxfId="173" priority="5" stopIfTrue="1">
      <formula>(MASTERSWITCH=1)</formula>
    </cfRule>
  </conditionalFormatting>
  <conditionalFormatting sqref="B11:D13">
    <cfRule type="expression" dxfId="172" priority="6" stopIfTrue="1">
      <formula>(MASTERSWITCH=1)</formula>
    </cfRule>
  </conditionalFormatting>
  <hyperlinks>
    <hyperlink ref="B20:C20" location="Weights!A1" display="  Material type ="/>
  </hyperlinks>
  <pageMargins left="0.75" right="0.75" top="1.75" bottom="1.5" header="0.5" footer="0.5"/>
  <pageSetup scale="83" orientation="portrait" horizontalDpi="0" verticalDpi="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2769" r:id="rId5" name="Drop Down 1">
              <controlPr locked="0" defaultSize="0" autoFill="0" autoLine="0" autoPict="0">
                <anchor moveWithCells="1">
                  <from>
                    <xdr:col>3</xdr:col>
                    <xdr:colOff>57150</xdr:colOff>
                    <xdr:row>18</xdr:row>
                    <xdr:rowOff>123825</xdr:rowOff>
                  </from>
                  <to>
                    <xdr:col>6</xdr:col>
                    <xdr:colOff>285750</xdr:colOff>
                    <xdr:row>20</xdr:row>
                    <xdr:rowOff>19050</xdr:rowOff>
                  </to>
                </anchor>
              </controlPr>
            </control>
          </mc:Choice>
        </mc:AlternateContent>
        <mc:AlternateContent xmlns:mc="http://schemas.openxmlformats.org/markup-compatibility/2006">
          <mc:Choice Requires="x14">
            <control shapeId="32773" r:id="rId6" name="Option Button 5">
              <controlPr locked="0" defaultSize="0" autoFill="0" autoLine="0" autoPict="0">
                <anchor moveWithCells="1" sizeWithCells="1">
                  <from>
                    <xdr:col>5</xdr:col>
                    <xdr:colOff>247650</xdr:colOff>
                    <xdr:row>15</xdr:row>
                    <xdr:rowOff>114300</xdr:rowOff>
                  </from>
                  <to>
                    <xdr:col>6</xdr:col>
                    <xdr:colOff>514350</xdr:colOff>
                    <xdr:row>16</xdr:row>
                    <xdr:rowOff>161925</xdr:rowOff>
                  </to>
                </anchor>
              </controlPr>
            </control>
          </mc:Choice>
        </mc:AlternateContent>
        <mc:AlternateContent xmlns:mc="http://schemas.openxmlformats.org/markup-compatibility/2006">
          <mc:Choice Requires="x14">
            <control shapeId="32774" r:id="rId7" name="Option Button 6">
              <controlPr locked="0" defaultSize="0" autoFill="0" autoLine="0" autoPict="0">
                <anchor moveWithCells="1" sizeWithCells="1">
                  <from>
                    <xdr:col>5</xdr:col>
                    <xdr:colOff>238125</xdr:colOff>
                    <xdr:row>16</xdr:row>
                    <xdr:rowOff>123825</xdr:rowOff>
                  </from>
                  <to>
                    <xdr:col>6</xdr:col>
                    <xdr:colOff>400050</xdr:colOff>
                    <xdr:row>17</xdr:row>
                    <xdr:rowOff>142875</xdr:rowOff>
                  </to>
                </anchor>
              </controlPr>
            </control>
          </mc:Choice>
        </mc:AlternateContent>
        <mc:AlternateContent xmlns:mc="http://schemas.openxmlformats.org/markup-compatibility/2006">
          <mc:Choice Requires="x14">
            <control shapeId="32775" r:id="rId8" name="Group Box 7">
              <controlPr locked="0" defaultSize="0" autoFill="0" autoPict="0" altText="Display Units">
                <anchor moveWithCells="1" sizeWithCells="1">
                  <from>
                    <xdr:col>5</xdr:col>
                    <xdr:colOff>171450</xdr:colOff>
                    <xdr:row>15</xdr:row>
                    <xdr:rowOff>47625</xdr:rowOff>
                  </from>
                  <to>
                    <xdr:col>6</xdr:col>
                    <xdr:colOff>523875</xdr:colOff>
                    <xdr:row>17</xdr:row>
                    <xdr:rowOff>152400</xdr:rowOff>
                  </to>
                </anchor>
              </controlPr>
            </control>
          </mc:Choice>
        </mc:AlternateContent>
        <mc:AlternateContent xmlns:mc="http://schemas.openxmlformats.org/markup-compatibility/2006">
          <mc:Choice Requires="x14">
            <control shapeId="32780" r:id="rId9" name="Option Button 12">
              <controlPr defaultSize="0" autoFill="0" autoLine="0" autoPict="0">
                <anchor moveWithCells="1" sizeWithCells="1">
                  <from>
                    <xdr:col>5</xdr:col>
                    <xdr:colOff>133350</xdr:colOff>
                    <xdr:row>2</xdr:row>
                    <xdr:rowOff>28575</xdr:rowOff>
                  </from>
                  <to>
                    <xdr:col>5</xdr:col>
                    <xdr:colOff>571500</xdr:colOff>
                    <xdr:row>3</xdr:row>
                    <xdr:rowOff>47625</xdr:rowOff>
                  </to>
                </anchor>
              </controlPr>
            </control>
          </mc:Choice>
        </mc:AlternateContent>
        <mc:AlternateContent xmlns:mc="http://schemas.openxmlformats.org/markup-compatibility/2006">
          <mc:Choice Requires="x14">
            <control shapeId="32781" r:id="rId10" name="Option Button 13">
              <controlPr defaultSize="0" autoFill="0" autoLine="0" autoPict="0">
                <anchor moveWithCells="1" sizeWithCells="1">
                  <from>
                    <xdr:col>5</xdr:col>
                    <xdr:colOff>552450</xdr:colOff>
                    <xdr:row>2</xdr:row>
                    <xdr:rowOff>28575</xdr:rowOff>
                  </from>
                  <to>
                    <xdr:col>6</xdr:col>
                    <xdr:colOff>485775</xdr:colOff>
                    <xdr:row>3</xdr:row>
                    <xdr:rowOff>47625</xdr:rowOff>
                  </to>
                </anchor>
              </controlPr>
            </control>
          </mc:Choice>
        </mc:AlternateContent>
        <mc:AlternateContent xmlns:mc="http://schemas.openxmlformats.org/markup-compatibility/2006">
          <mc:Choice Requires="x14">
            <control shapeId="32782" r:id="rId11" name="Group Box 14">
              <controlPr defaultSize="0" autoFill="0" autoPict="0">
                <anchor moveWithCells="1" sizeWithCells="1">
                  <from>
                    <xdr:col>5</xdr:col>
                    <xdr:colOff>95250</xdr:colOff>
                    <xdr:row>1</xdr:row>
                    <xdr:rowOff>180975</xdr:rowOff>
                  </from>
                  <to>
                    <xdr:col>6</xdr:col>
                    <xdr:colOff>561975</xdr:colOff>
                    <xdr:row>3</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J30"/>
  <sheetViews>
    <sheetView showRowColHeaders="0" workbookViewId="0">
      <selection activeCell="D3" sqref="D3"/>
    </sheetView>
  </sheetViews>
  <sheetFormatPr defaultRowHeight="12.75" x14ac:dyDescent="0.2"/>
  <cols>
    <col min="1" max="1" width="12.28515625" style="25" customWidth="1"/>
    <col min="2" max="2" width="14.140625" style="25" customWidth="1"/>
    <col min="3" max="3" width="6.85546875" style="25" customWidth="1"/>
    <col min="4" max="4" width="14.140625" style="25" customWidth="1"/>
    <col min="5" max="5" width="11.7109375" style="25" customWidth="1"/>
    <col min="6" max="16384" width="9.140625" style="25"/>
  </cols>
  <sheetData>
    <row r="1" spans="1:10" x14ac:dyDescent="0.2">
      <c r="A1" s="812"/>
      <c r="B1" s="396"/>
      <c r="F1" s="55">
        <v>1</v>
      </c>
    </row>
    <row r="2" spans="1:10" ht="15.75" thickBot="1" x14ac:dyDescent="0.3">
      <c r="A2" s="26"/>
      <c r="B2" s="26"/>
      <c r="D2" s="45" t="str">
        <f>IF(F1=1,"FEET","METER")</f>
        <v>FEET</v>
      </c>
      <c r="E2" s="45" t="str">
        <f>IF(F1=1,"inches","cm")</f>
        <v>inches</v>
      </c>
      <c r="F2" s="52" t="s">
        <v>2099</v>
      </c>
      <c r="G2" s="52" t="s">
        <v>698</v>
      </c>
      <c r="I2" s="27"/>
    </row>
    <row r="3" spans="1:10" ht="16.5" thickBot="1" x14ac:dyDescent="0.3">
      <c r="C3" s="57" t="s">
        <v>2103</v>
      </c>
      <c r="D3" s="361">
        <v>2</v>
      </c>
      <c r="E3" s="361">
        <v>0</v>
      </c>
      <c r="F3" s="52">
        <f>(D3*12)+E3</f>
        <v>24</v>
      </c>
      <c r="G3" s="53">
        <f>(D3*39.37)+(E3*0.3936996)</f>
        <v>78.739999999999995</v>
      </c>
    </row>
    <row r="4" spans="1:10" ht="16.5" thickBot="1" x14ac:dyDescent="0.3">
      <c r="C4" s="57" t="s">
        <v>2102</v>
      </c>
      <c r="D4" s="361">
        <v>2</v>
      </c>
      <c r="E4" s="361">
        <v>0</v>
      </c>
      <c r="F4" s="52">
        <f>(D4*12)+E4</f>
        <v>24</v>
      </c>
      <c r="G4" s="53">
        <f>(D4*39.37)+(E4*0.3936996)</f>
        <v>78.739999999999995</v>
      </c>
    </row>
    <row r="5" spans="1:10" ht="16.5" thickBot="1" x14ac:dyDescent="0.3">
      <c r="C5" s="57" t="s">
        <v>2104</v>
      </c>
      <c r="D5" s="361">
        <v>0</v>
      </c>
      <c r="E5" s="361">
        <v>12</v>
      </c>
      <c r="F5" s="52">
        <f>(D5*12)+E5</f>
        <v>12</v>
      </c>
      <c r="G5" s="53">
        <f>(D5*39.37)+(E5*0.3936996)</f>
        <v>4.7243952</v>
      </c>
    </row>
    <row r="6" spans="1:10" ht="16.5" thickBot="1" x14ac:dyDescent="0.3">
      <c r="C6" s="57" t="s">
        <v>2105</v>
      </c>
      <c r="D6" s="361">
        <v>0</v>
      </c>
      <c r="E6" s="361">
        <v>12</v>
      </c>
      <c r="F6" s="52">
        <f>(D6*12)+E6</f>
        <v>12</v>
      </c>
      <c r="G6" s="53">
        <f>(D6*39.37)+(E6*0.3936996)</f>
        <v>4.7243952</v>
      </c>
    </row>
    <row r="7" spans="1:10" ht="16.5" thickBot="1" x14ac:dyDescent="0.3">
      <c r="C7" s="57" t="s">
        <v>2106</v>
      </c>
      <c r="D7" s="361">
        <v>2</v>
      </c>
      <c r="E7" s="361">
        <v>0</v>
      </c>
      <c r="F7" s="52">
        <f>(D7*12)+E7</f>
        <v>24</v>
      </c>
      <c r="G7" s="53">
        <f>(D7*39.37)+(E7*0.3936996)</f>
        <v>78.739999999999995</v>
      </c>
    </row>
    <row r="8" spans="1:10" x14ac:dyDescent="0.2">
      <c r="F8" s="27">
        <f>F7/3*((F5*F6)+(F3*F4)+SQRT((F5*F6)*(F3*F4)))</f>
        <v>8064</v>
      </c>
      <c r="G8" s="27">
        <f>G7/3*((G5*G6)+(G3*G4)+SQRT((G5*G6)*(G3*G4)))</f>
        <v>173078.56166511826</v>
      </c>
    </row>
    <row r="9" spans="1:10" ht="14.25" x14ac:dyDescent="0.2">
      <c r="C9" s="31"/>
      <c r="D9" s="31"/>
      <c r="E9" s="32"/>
    </row>
    <row r="10" spans="1:10" ht="13.5" thickBot="1" x14ac:dyDescent="0.25">
      <c r="B10" s="33"/>
    </row>
    <row r="11" spans="1:10" ht="13.5" thickBot="1" x14ac:dyDescent="0.25">
      <c r="C11" s="30" t="s">
        <v>1958</v>
      </c>
      <c r="D11" s="553">
        <f>IF(F1=1,F8,G8)</f>
        <v>8064</v>
      </c>
      <c r="E11" s="27" t="s">
        <v>2098</v>
      </c>
      <c r="G11" s="56"/>
      <c r="H11" s="56"/>
      <c r="I11" s="56"/>
      <c r="J11" s="56"/>
    </row>
    <row r="12" spans="1:10" ht="14.25" x14ac:dyDescent="0.2">
      <c r="B12" s="34"/>
      <c r="C12" s="31"/>
      <c r="D12" s="554" t="str">
        <f>IF(F1=2,D11*(2.54)^3,"")</f>
        <v/>
      </c>
      <c r="E12" s="27" t="str">
        <f>IF(F1=2,"cubic centimeters","")</f>
        <v/>
      </c>
      <c r="G12" s="56"/>
      <c r="H12" s="56"/>
      <c r="I12" s="56"/>
      <c r="J12" s="56"/>
    </row>
    <row r="13" spans="1:10" x14ac:dyDescent="0.2">
      <c r="A13" s="885" t="str">
        <f>IF(MASTERSWITCH=1,"EVALUATION PERIOD EXPIRED!","")</f>
        <v/>
      </c>
      <c r="B13" s="885"/>
      <c r="C13" s="885"/>
      <c r="G13" s="56"/>
      <c r="H13" s="56"/>
      <c r="I13" s="56"/>
      <c r="J13" s="56"/>
    </row>
    <row r="14" spans="1:10" x14ac:dyDescent="0.2">
      <c r="A14" s="885" t="str">
        <f>IF(MASTERSWITCH=1,"PLEASE PURCHASE LICENSE TO","")</f>
        <v/>
      </c>
      <c r="B14" s="885"/>
      <c r="C14" s="885"/>
      <c r="G14" s="56"/>
      <c r="H14" s="56"/>
      <c r="I14" s="56"/>
      <c r="J14" s="56"/>
    </row>
    <row r="15" spans="1:10" x14ac:dyDescent="0.2">
      <c r="A15" s="885" t="str">
        <f>IF(MASTERSWITCH=1,"CONTINUE USING THIS PROGRAM","")</f>
        <v/>
      </c>
      <c r="B15" s="885"/>
      <c r="C15" s="885"/>
      <c r="G15" s="56"/>
      <c r="H15" s="56"/>
      <c r="I15" s="56"/>
      <c r="J15" s="56"/>
    </row>
    <row r="16" spans="1:10" ht="13.5" thickBot="1" x14ac:dyDescent="0.25">
      <c r="G16" s="701"/>
      <c r="H16" s="701"/>
      <c r="I16" s="701"/>
      <c r="J16" s="701"/>
    </row>
    <row r="17" spans="2:10" ht="15.75" thickBot="1" x14ac:dyDescent="0.25">
      <c r="C17" s="37" t="s">
        <v>1960</v>
      </c>
      <c r="D17" s="555">
        <f>IF(F20=1,F17,SUM(F17)*(0.4536))</f>
        <v>672</v>
      </c>
      <c r="E17" s="33" t="str">
        <f>IF(F20=1,"Pounds","Kilograms")</f>
        <v>Pounds</v>
      </c>
      <c r="F17" s="56">
        <f>ROUNDUP(($D$11*D20),0)</f>
        <v>672</v>
      </c>
      <c r="G17" s="701"/>
      <c r="H17" s="701"/>
      <c r="I17" s="701"/>
      <c r="J17" s="701"/>
    </row>
    <row r="18" spans="2:10" ht="15.75" thickBot="1" x14ac:dyDescent="0.25">
      <c r="C18" s="37" t="s">
        <v>1960</v>
      </c>
      <c r="D18" s="556">
        <f>IF(F20=1,F17/2000,F17/2205)</f>
        <v>0.33600000000000002</v>
      </c>
      <c r="E18" s="39" t="str">
        <f>IF(F20=1,"ton(s)","metric ton(s)")</f>
        <v>ton(s)</v>
      </c>
      <c r="G18" s="56"/>
      <c r="H18" s="56"/>
      <c r="I18" s="56"/>
      <c r="J18" s="56"/>
    </row>
    <row r="20" spans="2:10" x14ac:dyDescent="0.2">
      <c r="B20" s="886" t="s">
        <v>1963</v>
      </c>
      <c r="C20" s="886"/>
      <c r="D20" s="40">
        <f>LOOKUP(E20,LUweight)</f>
        <v>8.3333333333333329E-2</v>
      </c>
      <c r="E20" s="41">
        <v>8</v>
      </c>
      <c r="F20" s="35">
        <v>1</v>
      </c>
    </row>
    <row r="21" spans="2:10" x14ac:dyDescent="0.2">
      <c r="E21" s="56"/>
      <c r="F21" s="42"/>
    </row>
    <row r="25" spans="2:10" ht="13.5" thickBot="1" x14ac:dyDescent="0.25">
      <c r="B25" s="884" t="s">
        <v>2093</v>
      </c>
      <c r="C25" s="884"/>
    </row>
    <row r="26" spans="2:10" x14ac:dyDescent="0.2">
      <c r="C26" s="874"/>
      <c r="D26" s="875"/>
      <c r="E26" s="875"/>
      <c r="F26" s="875"/>
      <c r="G26" s="875"/>
      <c r="H26" s="875"/>
      <c r="I26" s="875"/>
      <c r="J26" s="876"/>
    </row>
    <row r="27" spans="2:10" x14ac:dyDescent="0.2">
      <c r="C27" s="877"/>
      <c r="D27" s="878"/>
      <c r="E27" s="878"/>
      <c r="F27" s="878"/>
      <c r="G27" s="878"/>
      <c r="H27" s="878"/>
      <c r="I27" s="878"/>
      <c r="J27" s="879"/>
    </row>
    <row r="28" spans="2:10" x14ac:dyDescent="0.2">
      <c r="C28" s="877"/>
      <c r="D28" s="878"/>
      <c r="E28" s="878"/>
      <c r="F28" s="878"/>
      <c r="G28" s="878"/>
      <c r="H28" s="878"/>
      <c r="I28" s="878"/>
      <c r="J28" s="879"/>
    </row>
    <row r="29" spans="2:10" x14ac:dyDescent="0.2">
      <c r="C29" s="877"/>
      <c r="D29" s="878"/>
      <c r="E29" s="878"/>
      <c r="F29" s="878"/>
      <c r="G29" s="878"/>
      <c r="H29" s="878"/>
      <c r="I29" s="878"/>
      <c r="J29" s="879"/>
    </row>
    <row r="30" spans="2:10" ht="13.5" thickBot="1" x14ac:dyDescent="0.25">
      <c r="C30" s="880"/>
      <c r="D30" s="881"/>
      <c r="E30" s="881"/>
      <c r="F30" s="881"/>
      <c r="G30" s="881"/>
      <c r="H30" s="881"/>
      <c r="I30" s="881"/>
      <c r="J30" s="882"/>
    </row>
  </sheetData>
  <sheetProtection password="D809" sheet="1" objects="1" scenarios="1" selectLockedCells="1"/>
  <mergeCells count="6">
    <mergeCell ref="C26:J30"/>
    <mergeCell ref="B20:C20"/>
    <mergeCell ref="B25:C25"/>
    <mergeCell ref="A13:C13"/>
    <mergeCell ref="A14:C14"/>
    <mergeCell ref="A15:C15"/>
  </mergeCells>
  <phoneticPr fontId="15" type="noConversion"/>
  <conditionalFormatting sqref="E17">
    <cfRule type="cellIs" dxfId="171" priority="1" stopIfTrue="1" operator="equal">
      <formula>"Kilograms"</formula>
    </cfRule>
  </conditionalFormatting>
  <conditionalFormatting sqref="E18">
    <cfRule type="cellIs" dxfId="170" priority="2" stopIfTrue="1" operator="equal">
      <formula>"metric ton(s)"</formula>
    </cfRule>
  </conditionalFormatting>
  <conditionalFormatting sqref="D2">
    <cfRule type="cellIs" dxfId="169" priority="3" stopIfTrue="1" operator="equal">
      <formula>"METER"</formula>
    </cfRule>
  </conditionalFormatting>
  <conditionalFormatting sqref="E2">
    <cfRule type="cellIs" dxfId="168" priority="4" stopIfTrue="1" operator="equal">
      <formula>"cm"</formula>
    </cfRule>
  </conditionalFormatting>
  <conditionalFormatting sqref="D3:E7">
    <cfRule type="expression" dxfId="167" priority="5" stopIfTrue="1">
      <formula>(MASTERSWITCH=1)</formula>
    </cfRule>
  </conditionalFormatting>
  <conditionalFormatting sqref="A13:C15">
    <cfRule type="expression" dxfId="166" priority="6" stopIfTrue="1">
      <formula>(MASTERSWITCH=1)</formula>
    </cfRule>
  </conditionalFormatting>
  <hyperlinks>
    <hyperlink ref="B20:C20" location="Weights!A1" display="  Material type ="/>
  </hyperlinks>
  <pageMargins left="0.75" right="0.75" top="1.75" bottom="1.5" header="0.5" footer="0.5"/>
  <pageSetup scale="74" orientation="portrait" horizontalDpi="0" verticalDpi="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3793" r:id="rId5" name="Drop Down 1">
              <controlPr locked="0" defaultSize="0" autoFill="0" autoLine="0" autoPict="0">
                <anchor moveWithCells="1">
                  <from>
                    <xdr:col>3</xdr:col>
                    <xdr:colOff>57150</xdr:colOff>
                    <xdr:row>18</xdr:row>
                    <xdr:rowOff>123825</xdr:rowOff>
                  </from>
                  <to>
                    <xdr:col>6</xdr:col>
                    <xdr:colOff>285750</xdr:colOff>
                    <xdr:row>20</xdr:row>
                    <xdr:rowOff>19050</xdr:rowOff>
                  </to>
                </anchor>
              </controlPr>
            </control>
          </mc:Choice>
        </mc:AlternateContent>
        <mc:AlternateContent xmlns:mc="http://schemas.openxmlformats.org/markup-compatibility/2006">
          <mc:Choice Requires="x14">
            <control shapeId="33797" r:id="rId6" name="Option Button 5">
              <controlPr locked="0" defaultSize="0" autoFill="0" autoLine="0" autoPict="0">
                <anchor moveWithCells="1" sizeWithCells="1">
                  <from>
                    <xdr:col>5</xdr:col>
                    <xdr:colOff>247650</xdr:colOff>
                    <xdr:row>15</xdr:row>
                    <xdr:rowOff>114300</xdr:rowOff>
                  </from>
                  <to>
                    <xdr:col>6</xdr:col>
                    <xdr:colOff>514350</xdr:colOff>
                    <xdr:row>16</xdr:row>
                    <xdr:rowOff>161925</xdr:rowOff>
                  </to>
                </anchor>
              </controlPr>
            </control>
          </mc:Choice>
        </mc:AlternateContent>
        <mc:AlternateContent xmlns:mc="http://schemas.openxmlformats.org/markup-compatibility/2006">
          <mc:Choice Requires="x14">
            <control shapeId="33798" r:id="rId7" name="Option Button 6">
              <controlPr locked="0" defaultSize="0" autoFill="0" autoLine="0" autoPict="0">
                <anchor moveWithCells="1" sizeWithCells="1">
                  <from>
                    <xdr:col>5</xdr:col>
                    <xdr:colOff>238125</xdr:colOff>
                    <xdr:row>16</xdr:row>
                    <xdr:rowOff>123825</xdr:rowOff>
                  </from>
                  <to>
                    <xdr:col>6</xdr:col>
                    <xdr:colOff>400050</xdr:colOff>
                    <xdr:row>17</xdr:row>
                    <xdr:rowOff>142875</xdr:rowOff>
                  </to>
                </anchor>
              </controlPr>
            </control>
          </mc:Choice>
        </mc:AlternateContent>
        <mc:AlternateContent xmlns:mc="http://schemas.openxmlformats.org/markup-compatibility/2006">
          <mc:Choice Requires="x14">
            <control shapeId="33799" r:id="rId8" name="Group Box 7">
              <controlPr locked="0" defaultSize="0" autoFill="0" autoPict="0" altText="Display Units">
                <anchor moveWithCells="1" sizeWithCells="1">
                  <from>
                    <xdr:col>5</xdr:col>
                    <xdr:colOff>171450</xdr:colOff>
                    <xdr:row>15</xdr:row>
                    <xdr:rowOff>47625</xdr:rowOff>
                  </from>
                  <to>
                    <xdr:col>6</xdr:col>
                    <xdr:colOff>523875</xdr:colOff>
                    <xdr:row>17</xdr:row>
                    <xdr:rowOff>152400</xdr:rowOff>
                  </to>
                </anchor>
              </controlPr>
            </control>
          </mc:Choice>
        </mc:AlternateContent>
        <mc:AlternateContent xmlns:mc="http://schemas.openxmlformats.org/markup-compatibility/2006">
          <mc:Choice Requires="x14">
            <control shapeId="33804" r:id="rId9" name="Option Button 12">
              <controlPr defaultSize="0" autoFill="0" autoLine="0" autoPict="0">
                <anchor moveWithCells="1" sizeWithCells="1">
                  <from>
                    <xdr:col>5</xdr:col>
                    <xdr:colOff>133350</xdr:colOff>
                    <xdr:row>2</xdr:row>
                    <xdr:rowOff>28575</xdr:rowOff>
                  </from>
                  <to>
                    <xdr:col>5</xdr:col>
                    <xdr:colOff>571500</xdr:colOff>
                    <xdr:row>3</xdr:row>
                    <xdr:rowOff>57150</xdr:rowOff>
                  </to>
                </anchor>
              </controlPr>
            </control>
          </mc:Choice>
        </mc:AlternateContent>
        <mc:AlternateContent xmlns:mc="http://schemas.openxmlformats.org/markup-compatibility/2006">
          <mc:Choice Requires="x14">
            <control shapeId="33805" r:id="rId10" name="Option Button 13">
              <controlPr defaultSize="0" autoFill="0" autoLine="0" autoPict="0">
                <anchor moveWithCells="1" sizeWithCells="1">
                  <from>
                    <xdr:col>5</xdr:col>
                    <xdr:colOff>552450</xdr:colOff>
                    <xdr:row>2</xdr:row>
                    <xdr:rowOff>28575</xdr:rowOff>
                  </from>
                  <to>
                    <xdr:col>6</xdr:col>
                    <xdr:colOff>485775</xdr:colOff>
                    <xdr:row>3</xdr:row>
                    <xdr:rowOff>57150</xdr:rowOff>
                  </to>
                </anchor>
              </controlPr>
            </control>
          </mc:Choice>
        </mc:AlternateContent>
        <mc:AlternateContent xmlns:mc="http://schemas.openxmlformats.org/markup-compatibility/2006">
          <mc:Choice Requires="x14">
            <control shapeId="33806" r:id="rId11" name="Group Box 14">
              <controlPr defaultSize="0" autoFill="0" autoPict="0">
                <anchor moveWithCells="1" sizeWithCells="1">
                  <from>
                    <xdr:col>5</xdr:col>
                    <xdr:colOff>95250</xdr:colOff>
                    <xdr:row>1</xdr:row>
                    <xdr:rowOff>180975</xdr:rowOff>
                  </from>
                  <to>
                    <xdr:col>6</xdr:col>
                    <xdr:colOff>561975</xdr:colOff>
                    <xdr:row>3</xdr:row>
                    <xdr:rowOff>57150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J30"/>
  <sheetViews>
    <sheetView showRowColHeaders="0" workbookViewId="0">
      <selection activeCell="C3" sqref="C3"/>
    </sheetView>
  </sheetViews>
  <sheetFormatPr defaultRowHeight="12.75" x14ac:dyDescent="0.2"/>
  <cols>
    <col min="1" max="1" width="17.5703125" style="25" customWidth="1"/>
    <col min="2" max="2" width="6.85546875" style="25" customWidth="1"/>
    <col min="3" max="3" width="14.140625" style="25" customWidth="1"/>
    <col min="4" max="4" width="11.7109375" style="25" customWidth="1"/>
    <col min="5" max="16384" width="9.140625" style="25"/>
  </cols>
  <sheetData>
    <row r="1" spans="1:10" x14ac:dyDescent="0.2">
      <c r="A1" s="23"/>
      <c r="E1" s="55">
        <v>1</v>
      </c>
    </row>
    <row r="2" spans="1:10" ht="15.75" thickBot="1" x14ac:dyDescent="0.3">
      <c r="A2" s="26"/>
      <c r="C2" s="45" t="str">
        <f>IF(E1=1,"FEET","METER")</f>
        <v>FEET</v>
      </c>
      <c r="D2" s="45" t="str">
        <f>IF(E1=1,"inches","cm")</f>
        <v>inches</v>
      </c>
      <c r="E2" s="52" t="s">
        <v>2099</v>
      </c>
      <c r="F2" s="52" t="s">
        <v>698</v>
      </c>
      <c r="H2" s="27"/>
    </row>
    <row r="3" spans="1:10" ht="15.75" thickBot="1" x14ac:dyDescent="0.3">
      <c r="B3" s="28" t="s">
        <v>1955</v>
      </c>
      <c r="C3" s="361">
        <v>0</v>
      </c>
      <c r="D3" s="361">
        <v>12</v>
      </c>
      <c r="E3" s="52">
        <f>(C3*12)+D3</f>
        <v>12</v>
      </c>
      <c r="F3" s="53">
        <f>(C3*39.37)+(D3*0.3936996)</f>
        <v>4.7243952</v>
      </c>
    </row>
    <row r="4" spans="1:10" ht="15.75" thickBot="1" x14ac:dyDescent="0.3">
      <c r="B4" s="28" t="s">
        <v>1956</v>
      </c>
      <c r="C4" s="361">
        <v>0</v>
      </c>
      <c r="D4" s="361">
        <v>12</v>
      </c>
      <c r="E4" s="52">
        <f>(C4*12)+D4</f>
        <v>12</v>
      </c>
      <c r="F4" s="53">
        <f>(C4*39.37)+(D4*0.3936996)</f>
        <v>4.7243952</v>
      </c>
    </row>
    <row r="5" spans="1:10" ht="15.75" thickBot="1" x14ac:dyDescent="0.3">
      <c r="B5" s="28" t="s">
        <v>1999</v>
      </c>
      <c r="C5" s="361">
        <v>0</v>
      </c>
      <c r="D5" s="361">
        <v>7</v>
      </c>
      <c r="E5" s="52">
        <f>(C5*12)+D5</f>
        <v>7</v>
      </c>
      <c r="F5" s="53">
        <f>(C5*39.37)+(D5*0.3936996)</f>
        <v>2.7558971999999997</v>
      </c>
    </row>
    <row r="6" spans="1:10" ht="13.5" thickBot="1" x14ac:dyDescent="0.25">
      <c r="C6" s="29"/>
      <c r="E6" s="52">
        <f>(E3*E4)*(E5/3)</f>
        <v>336</v>
      </c>
      <c r="F6" s="52">
        <f>(F3*F4)*(F5/3)</f>
        <v>20.503792496396485</v>
      </c>
    </row>
    <row r="7" spans="1:10" ht="13.5" thickBot="1" x14ac:dyDescent="0.25">
      <c r="B7" s="30" t="s">
        <v>1958</v>
      </c>
      <c r="C7" s="557">
        <f>IF(E1=1,E6,F6)</f>
        <v>336</v>
      </c>
      <c r="D7" s="27" t="s">
        <v>2098</v>
      </c>
    </row>
    <row r="8" spans="1:10" ht="14.25" x14ac:dyDescent="0.2">
      <c r="B8" s="31"/>
      <c r="C8" s="554" t="str">
        <f>IF(E1=2,C7*(2.54)^3,"")</f>
        <v/>
      </c>
      <c r="D8" s="27" t="str">
        <f>IF(E1=2,"cubic centimeters","")</f>
        <v/>
      </c>
      <c r="E8" s="27"/>
    </row>
    <row r="9" spans="1:10" ht="14.25" x14ac:dyDescent="0.2">
      <c r="B9" s="31"/>
      <c r="C9" s="31"/>
      <c r="D9" s="32"/>
    </row>
    <row r="10" spans="1:10" x14ac:dyDescent="0.2">
      <c r="A10" s="33"/>
      <c r="C10" s="885" t="str">
        <f>IF(MASTERSWITCH=1,"EVALUATION PERIOD EXPIRED!","")</f>
        <v/>
      </c>
      <c r="D10" s="885"/>
      <c r="E10" s="885"/>
    </row>
    <row r="11" spans="1:10" x14ac:dyDescent="0.2">
      <c r="C11" s="885" t="str">
        <f>IF(MASTERSWITCH=1,"PLEASE PURCHASE LICENSE TO","")</f>
        <v/>
      </c>
      <c r="D11" s="885"/>
      <c r="E11" s="885"/>
      <c r="G11" s="56"/>
      <c r="H11" s="56"/>
      <c r="I11" s="56"/>
      <c r="J11" s="56"/>
    </row>
    <row r="12" spans="1:10" x14ac:dyDescent="0.2">
      <c r="A12" s="34"/>
      <c r="C12" s="885" t="str">
        <f>IF(MASTERSWITCH=1,"CONTINUE USING THIS PROGRAM","")</f>
        <v/>
      </c>
      <c r="D12" s="885"/>
      <c r="E12" s="885"/>
      <c r="F12" s="56"/>
      <c r="G12" s="56"/>
      <c r="H12" s="56"/>
      <c r="I12" s="56"/>
      <c r="J12" s="56"/>
    </row>
    <row r="13" spans="1:10" x14ac:dyDescent="0.2">
      <c r="F13" s="56"/>
      <c r="G13" s="56"/>
      <c r="H13" s="56"/>
      <c r="I13" s="56"/>
      <c r="J13" s="56"/>
    </row>
    <row r="14" spans="1:10" x14ac:dyDescent="0.2">
      <c r="F14" s="56"/>
      <c r="G14" s="56"/>
      <c r="H14" s="56"/>
      <c r="I14" s="56"/>
      <c r="J14" s="56"/>
    </row>
    <row r="15" spans="1:10" x14ac:dyDescent="0.2">
      <c r="F15" s="56"/>
      <c r="G15" s="56"/>
      <c r="H15" s="56"/>
      <c r="I15" s="56"/>
      <c r="J15" s="56"/>
    </row>
    <row r="16" spans="1:10" ht="13.5" thickBot="1" x14ac:dyDescent="0.25">
      <c r="F16" s="701"/>
      <c r="G16" s="701"/>
      <c r="H16" s="701"/>
      <c r="I16" s="701"/>
      <c r="J16" s="56"/>
    </row>
    <row r="17" spans="1:10" ht="15.75" thickBot="1" x14ac:dyDescent="0.25">
      <c r="B17" s="37" t="s">
        <v>1960</v>
      </c>
      <c r="C17" s="555">
        <f>IF(E20=1,E17,SUM(E17)*(0.4536))</f>
        <v>33</v>
      </c>
      <c r="D17" s="33" t="str">
        <f>IF(E20=1,"Pounds","Kilograms")</f>
        <v>Pounds</v>
      </c>
      <c r="E17" s="56">
        <f>ROUNDUP(($C$7*C20),0)</f>
        <v>33</v>
      </c>
      <c r="F17" s="38"/>
      <c r="G17" s="701"/>
      <c r="H17" s="701"/>
      <c r="I17" s="701"/>
      <c r="J17" s="56"/>
    </row>
    <row r="18" spans="1:10" ht="15.75" thickBot="1" x14ac:dyDescent="0.25">
      <c r="B18" s="37" t="s">
        <v>1960</v>
      </c>
      <c r="C18" s="556">
        <f>IF(E20=1,E17/2000,E17/2205)</f>
        <v>1.6500000000000001E-2</v>
      </c>
      <c r="D18" s="39" t="str">
        <f>IF(E20=1,"ton(s)","metric ton(s)")</f>
        <v>ton(s)</v>
      </c>
      <c r="G18" s="56"/>
      <c r="H18" s="56"/>
      <c r="I18" s="56"/>
      <c r="J18" s="56"/>
    </row>
    <row r="19" spans="1:10" x14ac:dyDescent="0.2">
      <c r="G19" s="56"/>
      <c r="H19" s="56"/>
      <c r="I19" s="56"/>
      <c r="J19" s="56"/>
    </row>
    <row r="20" spans="1:10" x14ac:dyDescent="0.2">
      <c r="A20" s="886" t="s">
        <v>1963</v>
      </c>
      <c r="B20" s="886"/>
      <c r="C20" s="40">
        <f>LOOKUP(D20,LUweight)</f>
        <v>9.5486111111111105E-2</v>
      </c>
      <c r="D20" s="41">
        <v>1</v>
      </c>
      <c r="E20" s="35">
        <v>1</v>
      </c>
      <c r="G20" s="56"/>
      <c r="H20" s="56"/>
      <c r="I20" s="56"/>
      <c r="J20" s="56"/>
    </row>
    <row r="21" spans="1:10" x14ac:dyDescent="0.2">
      <c r="D21" s="35"/>
      <c r="E21" s="42"/>
    </row>
    <row r="25" spans="1:10" ht="13.5" thickBot="1" x14ac:dyDescent="0.25">
      <c r="A25" s="884" t="s">
        <v>2093</v>
      </c>
      <c r="B25" s="884"/>
    </row>
    <row r="26" spans="1:10" x14ac:dyDescent="0.2">
      <c r="B26" s="874"/>
      <c r="C26" s="875"/>
      <c r="D26" s="875"/>
      <c r="E26" s="875"/>
      <c r="F26" s="875"/>
      <c r="G26" s="875"/>
      <c r="H26" s="875"/>
      <c r="I26" s="876"/>
    </row>
    <row r="27" spans="1:10" x14ac:dyDescent="0.2">
      <c r="B27" s="877"/>
      <c r="C27" s="878"/>
      <c r="D27" s="878"/>
      <c r="E27" s="878"/>
      <c r="F27" s="878"/>
      <c r="G27" s="878"/>
      <c r="H27" s="878"/>
      <c r="I27" s="879"/>
    </row>
    <row r="28" spans="1:10" x14ac:dyDescent="0.2">
      <c r="B28" s="877"/>
      <c r="C28" s="878"/>
      <c r="D28" s="878"/>
      <c r="E28" s="878"/>
      <c r="F28" s="878"/>
      <c r="G28" s="878"/>
      <c r="H28" s="878"/>
      <c r="I28" s="879"/>
    </row>
    <row r="29" spans="1:10" x14ac:dyDescent="0.2">
      <c r="B29" s="877"/>
      <c r="C29" s="878"/>
      <c r="D29" s="878"/>
      <c r="E29" s="878"/>
      <c r="F29" s="878"/>
      <c r="G29" s="878"/>
      <c r="H29" s="878"/>
      <c r="I29" s="879"/>
    </row>
    <row r="30" spans="1:10" ht="13.5" thickBot="1" x14ac:dyDescent="0.25">
      <c r="B30" s="880"/>
      <c r="C30" s="881"/>
      <c r="D30" s="881"/>
      <c r="E30" s="881"/>
      <c r="F30" s="881"/>
      <c r="G30" s="881"/>
      <c r="H30" s="881"/>
      <c r="I30" s="882"/>
    </row>
  </sheetData>
  <sheetProtection password="D809" sheet="1" objects="1" scenarios="1" selectLockedCells="1"/>
  <mergeCells count="6">
    <mergeCell ref="B26:I30"/>
    <mergeCell ref="A20:B20"/>
    <mergeCell ref="A25:B25"/>
    <mergeCell ref="C10:E10"/>
    <mergeCell ref="C11:E11"/>
    <mergeCell ref="C12:E12"/>
  </mergeCells>
  <phoneticPr fontId="15" type="noConversion"/>
  <conditionalFormatting sqref="D17">
    <cfRule type="cellIs" dxfId="165" priority="1" stopIfTrue="1" operator="equal">
      <formula>"Kilograms"</formula>
    </cfRule>
  </conditionalFormatting>
  <conditionalFormatting sqref="D18">
    <cfRule type="cellIs" dxfId="164" priority="2" stopIfTrue="1" operator="equal">
      <formula>"metric ton(s)"</formula>
    </cfRule>
  </conditionalFormatting>
  <conditionalFormatting sqref="C2">
    <cfRule type="cellIs" dxfId="163" priority="3" stopIfTrue="1" operator="equal">
      <formula>"METER"</formula>
    </cfRule>
  </conditionalFormatting>
  <conditionalFormatting sqref="D2">
    <cfRule type="cellIs" dxfId="162" priority="4" stopIfTrue="1" operator="equal">
      <formula>"cm"</formula>
    </cfRule>
  </conditionalFormatting>
  <conditionalFormatting sqref="C3:D5">
    <cfRule type="expression" dxfId="161" priority="5" stopIfTrue="1">
      <formula>(MASTERSWITCH=1)</formula>
    </cfRule>
  </conditionalFormatting>
  <conditionalFormatting sqref="C10:E12">
    <cfRule type="expression" dxfId="160" priority="6" stopIfTrue="1">
      <formula>(MASTERSWITCH=1)</formula>
    </cfRule>
  </conditionalFormatting>
  <hyperlinks>
    <hyperlink ref="A20:B20" location="Weights!A1" display="  Material type ="/>
  </hyperlinks>
  <printOptions horizontalCentered="1"/>
  <pageMargins left="0.75" right="0.75" top="1.75" bottom="1.5" header="0.5" footer="0.5"/>
  <pageSetup scale="84" orientation="portrait" horizontalDpi="0" verticalDpi="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4817" r:id="rId5" name="Drop Down 1">
              <controlPr locked="0" defaultSize="0" autoFill="0" autoLine="0" autoPict="0">
                <anchor moveWithCells="1">
                  <from>
                    <xdr:col>2</xdr:col>
                    <xdr:colOff>57150</xdr:colOff>
                    <xdr:row>18</xdr:row>
                    <xdr:rowOff>123825</xdr:rowOff>
                  </from>
                  <to>
                    <xdr:col>5</xdr:col>
                    <xdr:colOff>285750</xdr:colOff>
                    <xdr:row>20</xdr:row>
                    <xdr:rowOff>19050</xdr:rowOff>
                  </to>
                </anchor>
              </controlPr>
            </control>
          </mc:Choice>
        </mc:AlternateContent>
        <mc:AlternateContent xmlns:mc="http://schemas.openxmlformats.org/markup-compatibility/2006">
          <mc:Choice Requires="x14">
            <control shapeId="34821" r:id="rId6" name="Option Button 5">
              <controlPr locked="0" defaultSize="0" autoFill="0" autoLine="0" autoPict="0">
                <anchor moveWithCells="1" sizeWithCells="1">
                  <from>
                    <xdr:col>4</xdr:col>
                    <xdr:colOff>247650</xdr:colOff>
                    <xdr:row>15</xdr:row>
                    <xdr:rowOff>114300</xdr:rowOff>
                  </from>
                  <to>
                    <xdr:col>5</xdr:col>
                    <xdr:colOff>514350</xdr:colOff>
                    <xdr:row>16</xdr:row>
                    <xdr:rowOff>161925</xdr:rowOff>
                  </to>
                </anchor>
              </controlPr>
            </control>
          </mc:Choice>
        </mc:AlternateContent>
        <mc:AlternateContent xmlns:mc="http://schemas.openxmlformats.org/markup-compatibility/2006">
          <mc:Choice Requires="x14">
            <control shapeId="34822" r:id="rId7" name="Option Button 6">
              <controlPr locked="0" defaultSize="0" autoFill="0" autoLine="0" autoPict="0">
                <anchor moveWithCells="1" sizeWithCells="1">
                  <from>
                    <xdr:col>4</xdr:col>
                    <xdr:colOff>238125</xdr:colOff>
                    <xdr:row>16</xdr:row>
                    <xdr:rowOff>123825</xdr:rowOff>
                  </from>
                  <to>
                    <xdr:col>5</xdr:col>
                    <xdr:colOff>400050</xdr:colOff>
                    <xdr:row>17</xdr:row>
                    <xdr:rowOff>142875</xdr:rowOff>
                  </to>
                </anchor>
              </controlPr>
            </control>
          </mc:Choice>
        </mc:AlternateContent>
        <mc:AlternateContent xmlns:mc="http://schemas.openxmlformats.org/markup-compatibility/2006">
          <mc:Choice Requires="x14">
            <control shapeId="34823" r:id="rId8" name="Group Box 7">
              <controlPr locked="0" defaultSize="0" autoFill="0" autoPict="0" altText="Display Units">
                <anchor moveWithCells="1" sizeWithCells="1">
                  <from>
                    <xdr:col>4</xdr:col>
                    <xdr:colOff>171450</xdr:colOff>
                    <xdr:row>15</xdr:row>
                    <xdr:rowOff>47625</xdr:rowOff>
                  </from>
                  <to>
                    <xdr:col>5</xdr:col>
                    <xdr:colOff>523875</xdr:colOff>
                    <xdr:row>17</xdr:row>
                    <xdr:rowOff>152400</xdr:rowOff>
                  </to>
                </anchor>
              </controlPr>
            </control>
          </mc:Choice>
        </mc:AlternateContent>
        <mc:AlternateContent xmlns:mc="http://schemas.openxmlformats.org/markup-compatibility/2006">
          <mc:Choice Requires="x14">
            <control shapeId="34828" r:id="rId9" name="Option Button 12">
              <controlPr defaultSize="0" autoFill="0" autoLine="0" autoPict="0">
                <anchor moveWithCells="1" sizeWithCells="1">
                  <from>
                    <xdr:col>4</xdr:col>
                    <xdr:colOff>142875</xdr:colOff>
                    <xdr:row>2</xdr:row>
                    <xdr:rowOff>9525</xdr:rowOff>
                  </from>
                  <to>
                    <xdr:col>4</xdr:col>
                    <xdr:colOff>581025</xdr:colOff>
                    <xdr:row>3</xdr:row>
                    <xdr:rowOff>28575</xdr:rowOff>
                  </to>
                </anchor>
              </controlPr>
            </control>
          </mc:Choice>
        </mc:AlternateContent>
        <mc:AlternateContent xmlns:mc="http://schemas.openxmlformats.org/markup-compatibility/2006">
          <mc:Choice Requires="x14">
            <control shapeId="34829" r:id="rId10" name="Option Button 13">
              <controlPr defaultSize="0" autoFill="0" autoLine="0" autoPict="0">
                <anchor moveWithCells="1" sizeWithCells="1">
                  <from>
                    <xdr:col>4</xdr:col>
                    <xdr:colOff>561975</xdr:colOff>
                    <xdr:row>2</xdr:row>
                    <xdr:rowOff>9525</xdr:rowOff>
                  </from>
                  <to>
                    <xdr:col>5</xdr:col>
                    <xdr:colOff>495300</xdr:colOff>
                    <xdr:row>3</xdr:row>
                    <xdr:rowOff>28575</xdr:rowOff>
                  </to>
                </anchor>
              </controlPr>
            </control>
          </mc:Choice>
        </mc:AlternateContent>
        <mc:AlternateContent xmlns:mc="http://schemas.openxmlformats.org/markup-compatibility/2006">
          <mc:Choice Requires="x14">
            <control shapeId="34830" r:id="rId11" name="Group Box 14">
              <controlPr defaultSize="0" autoFill="0" autoPict="0">
                <anchor moveWithCells="1" sizeWithCells="1">
                  <from>
                    <xdr:col>4</xdr:col>
                    <xdr:colOff>104775</xdr:colOff>
                    <xdr:row>1</xdr:row>
                    <xdr:rowOff>161925</xdr:rowOff>
                  </from>
                  <to>
                    <xdr:col>5</xdr:col>
                    <xdr:colOff>571500</xdr:colOff>
                    <xdr:row>3</xdr:row>
                    <xdr:rowOff>28575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I30"/>
  <sheetViews>
    <sheetView showRowColHeaders="0" workbookViewId="0">
      <selection activeCell="C3" sqref="C3"/>
    </sheetView>
  </sheetViews>
  <sheetFormatPr defaultRowHeight="12.75" x14ac:dyDescent="0.2"/>
  <cols>
    <col min="1" max="1" width="16" style="25" customWidth="1"/>
    <col min="2" max="2" width="6.85546875" style="25" customWidth="1"/>
    <col min="3" max="3" width="14.140625" style="25" customWidth="1"/>
    <col min="4" max="4" width="11.7109375" style="25" customWidth="1"/>
    <col min="5" max="16384" width="9.140625" style="25"/>
  </cols>
  <sheetData>
    <row r="1" spans="1:9" x14ac:dyDescent="0.2">
      <c r="A1" s="23"/>
      <c r="E1" s="55">
        <v>1</v>
      </c>
    </row>
    <row r="2" spans="1:9" ht="15.75" thickBot="1" x14ac:dyDescent="0.3">
      <c r="A2" s="26"/>
      <c r="C2" s="45" t="str">
        <f>IF(E1=1,"FEET","METER")</f>
        <v>FEET</v>
      </c>
      <c r="D2" s="45" t="str">
        <f>IF(E1=1,"inches","cm")</f>
        <v>inches</v>
      </c>
      <c r="E2" s="52" t="s">
        <v>2099</v>
      </c>
      <c r="F2" s="52" t="s">
        <v>698</v>
      </c>
      <c r="H2" s="27"/>
    </row>
    <row r="3" spans="1:9" ht="15.75" thickBot="1" x14ac:dyDescent="0.3">
      <c r="B3" s="28" t="s">
        <v>2094</v>
      </c>
      <c r="C3" s="361">
        <v>0</v>
      </c>
      <c r="D3" s="361">
        <v>6</v>
      </c>
      <c r="E3" s="52">
        <f>(C3*12)+D3</f>
        <v>6</v>
      </c>
      <c r="F3" s="53">
        <f>(C3*39.37)+(D3*0.3936996)</f>
        <v>2.3621976</v>
      </c>
    </row>
    <row r="4" spans="1:9" ht="15.75" thickBot="1" x14ac:dyDescent="0.3">
      <c r="B4" s="28" t="s">
        <v>2000</v>
      </c>
      <c r="C4" s="361">
        <v>0</v>
      </c>
      <c r="D4" s="361">
        <v>12</v>
      </c>
      <c r="E4" s="52">
        <f>(C4*12)+D4</f>
        <v>12</v>
      </c>
      <c r="F4" s="53">
        <f>(C4*39.37)+(D4*0.3936996)</f>
        <v>4.7243952</v>
      </c>
    </row>
    <row r="5" spans="1:9" ht="15.75" thickBot="1" x14ac:dyDescent="0.3">
      <c r="B5" s="28" t="s">
        <v>2051</v>
      </c>
      <c r="C5" s="361">
        <v>0</v>
      </c>
      <c r="D5" s="361">
        <v>7</v>
      </c>
      <c r="E5" s="52">
        <f>(C5*12)+D5</f>
        <v>7</v>
      </c>
      <c r="F5" s="53">
        <f>(C5*39.37)+(D5*0.3936996)</f>
        <v>2.7558971999999997</v>
      </c>
    </row>
    <row r="6" spans="1:9" ht="13.5" thickBot="1" x14ac:dyDescent="0.25">
      <c r="C6" s="29"/>
      <c r="E6" s="52">
        <f>0.2618*E5*(E4*E4+E4*E3+E3*E3)</f>
        <v>461.81519999999995</v>
      </c>
      <c r="F6" s="52">
        <f>0.2618*F5*(F4*F4+F4*F3+F3*F3)</f>
        <v>28.181437596672147</v>
      </c>
    </row>
    <row r="7" spans="1:9" ht="13.5" thickBot="1" x14ac:dyDescent="0.25">
      <c r="B7" s="30" t="s">
        <v>1958</v>
      </c>
      <c r="C7" s="557">
        <f>IF(E1=1,E6,F6)</f>
        <v>461.81519999999995</v>
      </c>
      <c r="D7" s="27" t="s">
        <v>2098</v>
      </c>
    </row>
    <row r="8" spans="1:9" ht="14.25" x14ac:dyDescent="0.2">
      <c r="B8" s="31"/>
      <c r="C8" s="554" t="str">
        <f>IF(E1=2,C7*(2.54)^3,"")</f>
        <v/>
      </c>
      <c r="D8" s="27" t="str">
        <f>IF(E1=2,"cubic centimeters","")</f>
        <v/>
      </c>
      <c r="E8" s="27"/>
    </row>
    <row r="9" spans="1:9" ht="14.25" x14ac:dyDescent="0.2">
      <c r="B9" s="31"/>
      <c r="C9" s="31"/>
      <c r="D9" s="32"/>
    </row>
    <row r="10" spans="1:9" x14ac:dyDescent="0.2">
      <c r="A10" s="33"/>
      <c r="C10" s="885" t="str">
        <f>IF(MASTERSWITCH=1,"EVALUATION PERIOD EXPIRED!","")</f>
        <v/>
      </c>
      <c r="D10" s="885"/>
      <c r="E10" s="885"/>
      <c r="G10" s="56"/>
      <c r="H10" s="56"/>
      <c r="I10" s="56"/>
    </row>
    <row r="11" spans="1:9" x14ac:dyDescent="0.2">
      <c r="C11" s="885" t="str">
        <f>IF(MASTERSWITCH=1,"PLEASE PURCHASE LICENSE TO","")</f>
        <v/>
      </c>
      <c r="D11" s="885"/>
      <c r="E11" s="885"/>
      <c r="G11" s="56"/>
      <c r="H11" s="56"/>
      <c r="I11" s="56"/>
    </row>
    <row r="12" spans="1:9" x14ac:dyDescent="0.2">
      <c r="A12" s="34"/>
      <c r="C12" s="885" t="str">
        <f>IF(MASTERSWITCH=1,"CONTINUE USING THIS PROGRAM","")</f>
        <v/>
      </c>
      <c r="D12" s="885"/>
      <c r="E12" s="885"/>
      <c r="F12" s="56"/>
      <c r="G12" s="56"/>
      <c r="H12" s="56"/>
      <c r="I12" s="56"/>
    </row>
    <row r="13" spans="1:9" x14ac:dyDescent="0.2">
      <c r="G13" s="56"/>
      <c r="H13" s="56"/>
      <c r="I13" s="56"/>
    </row>
    <row r="14" spans="1:9" x14ac:dyDescent="0.2">
      <c r="G14" s="56"/>
      <c r="H14" s="56"/>
      <c r="I14" s="56"/>
    </row>
    <row r="15" spans="1:9" x14ac:dyDescent="0.2">
      <c r="G15" s="56"/>
      <c r="H15" s="56"/>
      <c r="I15" s="56"/>
    </row>
    <row r="16" spans="1:9" ht="13.5" thickBot="1" x14ac:dyDescent="0.25">
      <c r="F16" s="701"/>
      <c r="G16" s="701"/>
      <c r="H16" s="701"/>
      <c r="I16" s="701"/>
    </row>
    <row r="17" spans="1:9" ht="15.75" thickBot="1" x14ac:dyDescent="0.25">
      <c r="B17" s="37" t="s">
        <v>1960</v>
      </c>
      <c r="C17" s="555">
        <f>IF(E20=1,E17,SUM(E17)*(0.4536))</f>
        <v>49</v>
      </c>
      <c r="D17" s="33" t="str">
        <f>IF(E20=1,"Pounds","Kilograms")</f>
        <v>Pounds</v>
      </c>
      <c r="E17" s="56">
        <f>ROUNDUP(($C$7*C20),0)</f>
        <v>49</v>
      </c>
      <c r="F17" s="38"/>
      <c r="G17" s="701"/>
      <c r="H17" s="701"/>
      <c r="I17" s="701"/>
    </row>
    <row r="18" spans="1:9" ht="15.75" thickBot="1" x14ac:dyDescent="0.25">
      <c r="B18" s="37" t="s">
        <v>1960</v>
      </c>
      <c r="C18" s="556">
        <f>IF(E20=1,E17/2000,E17/2205)</f>
        <v>2.4500000000000001E-2</v>
      </c>
      <c r="D18" s="39" t="str">
        <f>IF(E20=1,"ton(s)","metric ton(s)")</f>
        <v>ton(s)</v>
      </c>
      <c r="G18" s="56"/>
      <c r="H18" s="56"/>
      <c r="I18" s="56"/>
    </row>
    <row r="20" spans="1:9" x14ac:dyDescent="0.2">
      <c r="A20" s="886" t="s">
        <v>1963</v>
      </c>
      <c r="B20" s="886"/>
      <c r="C20" s="40">
        <f>LOOKUP(D20,LUweight)</f>
        <v>0.10590277777777778</v>
      </c>
      <c r="D20" s="41">
        <v>7</v>
      </c>
      <c r="E20" s="35">
        <v>1</v>
      </c>
    </row>
    <row r="21" spans="1:9" x14ac:dyDescent="0.2">
      <c r="D21" s="56"/>
      <c r="E21" s="42"/>
    </row>
    <row r="25" spans="1:9" ht="13.5" thickBot="1" x14ac:dyDescent="0.25">
      <c r="A25" s="884" t="s">
        <v>2093</v>
      </c>
      <c r="B25" s="884"/>
    </row>
    <row r="26" spans="1:9" x14ac:dyDescent="0.2">
      <c r="B26" s="874"/>
      <c r="C26" s="875"/>
      <c r="D26" s="875"/>
      <c r="E26" s="875"/>
      <c r="F26" s="875"/>
      <c r="G26" s="875"/>
      <c r="H26" s="875"/>
      <c r="I26" s="876"/>
    </row>
    <row r="27" spans="1:9" x14ac:dyDescent="0.2">
      <c r="B27" s="877"/>
      <c r="C27" s="878"/>
      <c r="D27" s="878"/>
      <c r="E27" s="878"/>
      <c r="F27" s="878"/>
      <c r="G27" s="878"/>
      <c r="H27" s="878"/>
      <c r="I27" s="879"/>
    </row>
    <row r="28" spans="1:9" x14ac:dyDescent="0.2">
      <c r="B28" s="877"/>
      <c r="C28" s="878"/>
      <c r="D28" s="878"/>
      <c r="E28" s="878"/>
      <c r="F28" s="878"/>
      <c r="G28" s="878"/>
      <c r="H28" s="878"/>
      <c r="I28" s="879"/>
    </row>
    <row r="29" spans="1:9" x14ac:dyDescent="0.2">
      <c r="B29" s="877"/>
      <c r="C29" s="878"/>
      <c r="D29" s="878"/>
      <c r="E29" s="878"/>
      <c r="F29" s="878"/>
      <c r="G29" s="878"/>
      <c r="H29" s="878"/>
      <c r="I29" s="879"/>
    </row>
    <row r="30" spans="1:9" ht="13.5" thickBot="1" x14ac:dyDescent="0.25">
      <c r="B30" s="880"/>
      <c r="C30" s="881"/>
      <c r="D30" s="881"/>
      <c r="E30" s="881"/>
      <c r="F30" s="881"/>
      <c r="G30" s="881"/>
      <c r="H30" s="881"/>
      <c r="I30" s="882"/>
    </row>
  </sheetData>
  <sheetProtection password="D809" sheet="1" objects="1" scenarios="1" selectLockedCells="1"/>
  <mergeCells count="6">
    <mergeCell ref="B26:I30"/>
    <mergeCell ref="A20:B20"/>
    <mergeCell ref="A25:B25"/>
    <mergeCell ref="C10:E10"/>
    <mergeCell ref="C11:E11"/>
    <mergeCell ref="C12:E12"/>
  </mergeCells>
  <phoneticPr fontId="15" type="noConversion"/>
  <conditionalFormatting sqref="D17">
    <cfRule type="cellIs" dxfId="159" priority="1" stopIfTrue="1" operator="equal">
      <formula>"Kilograms"</formula>
    </cfRule>
  </conditionalFormatting>
  <conditionalFormatting sqref="D18">
    <cfRule type="cellIs" dxfId="158" priority="2" stopIfTrue="1" operator="equal">
      <formula>"metric ton(s)"</formula>
    </cfRule>
  </conditionalFormatting>
  <conditionalFormatting sqref="C2">
    <cfRule type="cellIs" dxfId="157" priority="3" stopIfTrue="1" operator="equal">
      <formula>"METER"</formula>
    </cfRule>
  </conditionalFormatting>
  <conditionalFormatting sqref="D2">
    <cfRule type="cellIs" dxfId="156" priority="4" stopIfTrue="1" operator="equal">
      <formula>"cm"</formula>
    </cfRule>
  </conditionalFormatting>
  <conditionalFormatting sqref="C3:D5">
    <cfRule type="expression" dxfId="155" priority="5" stopIfTrue="1">
      <formula>(MASTERSWITCH=1)</formula>
    </cfRule>
  </conditionalFormatting>
  <conditionalFormatting sqref="C10:E12">
    <cfRule type="expression" dxfId="154" priority="6" stopIfTrue="1">
      <formula>(MASTERSWITCH=1)</formula>
    </cfRule>
  </conditionalFormatting>
  <hyperlinks>
    <hyperlink ref="A20:B20" location="Weights!A1" display="  Material type ="/>
  </hyperlinks>
  <printOptions horizontalCentered="1"/>
  <pageMargins left="0.75" right="0.75" top="1.75" bottom="1.5" header="0.5" footer="0.5"/>
  <pageSetup scale="86" orientation="portrait" horizontalDpi="0" verticalDpi="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5841" r:id="rId5" name="Drop Down 1">
              <controlPr locked="0" defaultSize="0" autoFill="0" autoLine="0" autoPict="0">
                <anchor moveWithCells="1">
                  <from>
                    <xdr:col>2</xdr:col>
                    <xdr:colOff>57150</xdr:colOff>
                    <xdr:row>18</xdr:row>
                    <xdr:rowOff>123825</xdr:rowOff>
                  </from>
                  <to>
                    <xdr:col>5</xdr:col>
                    <xdr:colOff>285750</xdr:colOff>
                    <xdr:row>20</xdr:row>
                    <xdr:rowOff>19050</xdr:rowOff>
                  </to>
                </anchor>
              </controlPr>
            </control>
          </mc:Choice>
        </mc:AlternateContent>
        <mc:AlternateContent xmlns:mc="http://schemas.openxmlformats.org/markup-compatibility/2006">
          <mc:Choice Requires="x14">
            <control shapeId="35845" r:id="rId6" name="Option Button 5">
              <controlPr locked="0" defaultSize="0" autoFill="0" autoLine="0" autoPict="0">
                <anchor moveWithCells="1" sizeWithCells="1">
                  <from>
                    <xdr:col>4</xdr:col>
                    <xdr:colOff>247650</xdr:colOff>
                    <xdr:row>15</xdr:row>
                    <xdr:rowOff>114300</xdr:rowOff>
                  </from>
                  <to>
                    <xdr:col>5</xdr:col>
                    <xdr:colOff>514350</xdr:colOff>
                    <xdr:row>16</xdr:row>
                    <xdr:rowOff>161925</xdr:rowOff>
                  </to>
                </anchor>
              </controlPr>
            </control>
          </mc:Choice>
        </mc:AlternateContent>
        <mc:AlternateContent xmlns:mc="http://schemas.openxmlformats.org/markup-compatibility/2006">
          <mc:Choice Requires="x14">
            <control shapeId="35846" r:id="rId7" name="Option Button 6">
              <controlPr locked="0" defaultSize="0" autoFill="0" autoLine="0" autoPict="0">
                <anchor moveWithCells="1" sizeWithCells="1">
                  <from>
                    <xdr:col>4</xdr:col>
                    <xdr:colOff>238125</xdr:colOff>
                    <xdr:row>16</xdr:row>
                    <xdr:rowOff>123825</xdr:rowOff>
                  </from>
                  <to>
                    <xdr:col>5</xdr:col>
                    <xdr:colOff>400050</xdr:colOff>
                    <xdr:row>17</xdr:row>
                    <xdr:rowOff>142875</xdr:rowOff>
                  </to>
                </anchor>
              </controlPr>
            </control>
          </mc:Choice>
        </mc:AlternateContent>
        <mc:AlternateContent xmlns:mc="http://schemas.openxmlformats.org/markup-compatibility/2006">
          <mc:Choice Requires="x14">
            <control shapeId="35847" r:id="rId8" name="Group Box 7">
              <controlPr locked="0" defaultSize="0" autoFill="0" autoPict="0" altText="Display Units">
                <anchor moveWithCells="1" sizeWithCells="1">
                  <from>
                    <xdr:col>4</xdr:col>
                    <xdr:colOff>171450</xdr:colOff>
                    <xdr:row>15</xdr:row>
                    <xdr:rowOff>47625</xdr:rowOff>
                  </from>
                  <to>
                    <xdr:col>5</xdr:col>
                    <xdr:colOff>523875</xdr:colOff>
                    <xdr:row>17</xdr:row>
                    <xdr:rowOff>152400</xdr:rowOff>
                  </to>
                </anchor>
              </controlPr>
            </control>
          </mc:Choice>
        </mc:AlternateContent>
        <mc:AlternateContent xmlns:mc="http://schemas.openxmlformats.org/markup-compatibility/2006">
          <mc:Choice Requires="x14">
            <control shapeId="35852" r:id="rId9" name="Option Button 12">
              <controlPr defaultSize="0" autoFill="0" autoLine="0" autoPict="0">
                <anchor moveWithCells="1" sizeWithCells="1">
                  <from>
                    <xdr:col>4</xdr:col>
                    <xdr:colOff>152400</xdr:colOff>
                    <xdr:row>2</xdr:row>
                    <xdr:rowOff>19050</xdr:rowOff>
                  </from>
                  <to>
                    <xdr:col>4</xdr:col>
                    <xdr:colOff>590550</xdr:colOff>
                    <xdr:row>3</xdr:row>
                    <xdr:rowOff>38100</xdr:rowOff>
                  </to>
                </anchor>
              </controlPr>
            </control>
          </mc:Choice>
        </mc:AlternateContent>
        <mc:AlternateContent xmlns:mc="http://schemas.openxmlformats.org/markup-compatibility/2006">
          <mc:Choice Requires="x14">
            <control shapeId="35853" r:id="rId10" name="Option Button 13">
              <controlPr defaultSize="0" autoFill="0" autoLine="0" autoPict="0">
                <anchor moveWithCells="1" sizeWithCells="1">
                  <from>
                    <xdr:col>4</xdr:col>
                    <xdr:colOff>571500</xdr:colOff>
                    <xdr:row>2</xdr:row>
                    <xdr:rowOff>19050</xdr:rowOff>
                  </from>
                  <to>
                    <xdr:col>5</xdr:col>
                    <xdr:colOff>504825</xdr:colOff>
                    <xdr:row>3</xdr:row>
                    <xdr:rowOff>38100</xdr:rowOff>
                  </to>
                </anchor>
              </controlPr>
            </control>
          </mc:Choice>
        </mc:AlternateContent>
        <mc:AlternateContent xmlns:mc="http://schemas.openxmlformats.org/markup-compatibility/2006">
          <mc:Choice Requires="x14">
            <control shapeId="35854" r:id="rId11" name="Group Box 14">
              <controlPr defaultSize="0" autoFill="0" autoPict="0">
                <anchor moveWithCells="1" sizeWithCells="1">
                  <from>
                    <xdr:col>4</xdr:col>
                    <xdr:colOff>114300</xdr:colOff>
                    <xdr:row>1</xdr:row>
                    <xdr:rowOff>171450</xdr:rowOff>
                  </from>
                  <to>
                    <xdr:col>5</xdr:col>
                    <xdr:colOff>581025</xdr:colOff>
                    <xdr:row>3</xdr:row>
                    <xdr:rowOff>38100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J30"/>
  <sheetViews>
    <sheetView showRowColHeaders="0" workbookViewId="0">
      <selection activeCell="C3" sqref="C3"/>
    </sheetView>
  </sheetViews>
  <sheetFormatPr defaultRowHeight="12.75" x14ac:dyDescent="0.2"/>
  <cols>
    <col min="1" max="1" width="15.42578125" style="25" customWidth="1"/>
    <col min="2" max="2" width="6.85546875" style="25" customWidth="1"/>
    <col min="3" max="3" width="14.140625" style="25" customWidth="1"/>
    <col min="4" max="4" width="11.7109375" style="25" customWidth="1"/>
    <col min="5" max="16384" width="9.140625" style="25"/>
  </cols>
  <sheetData>
    <row r="1" spans="1:10" x14ac:dyDescent="0.2">
      <c r="A1" s="23"/>
      <c r="E1" s="55">
        <v>1</v>
      </c>
    </row>
    <row r="2" spans="1:10" ht="15.75" thickBot="1" x14ac:dyDescent="0.3">
      <c r="A2" s="26"/>
      <c r="C2" s="45" t="str">
        <f>IF(E1=1,"FEET","METER")</f>
        <v>FEET</v>
      </c>
      <c r="D2" s="45" t="str">
        <f>IF(E1=1,"inches","cm")</f>
        <v>inches</v>
      </c>
      <c r="E2" s="52" t="s">
        <v>2099</v>
      </c>
      <c r="F2" s="52" t="s">
        <v>698</v>
      </c>
      <c r="H2" s="27"/>
    </row>
    <row r="3" spans="1:10" ht="15.75" thickBot="1" x14ac:dyDescent="0.3">
      <c r="B3" s="28" t="s">
        <v>2000</v>
      </c>
      <c r="C3" s="361">
        <v>0</v>
      </c>
      <c r="D3" s="361">
        <v>8</v>
      </c>
      <c r="E3" s="52">
        <f>(C3*12)+D3</f>
        <v>8</v>
      </c>
      <c r="F3" s="53">
        <f>(C3*39.37)+(D3*0.3936996)</f>
        <v>3.1495967999999999</v>
      </c>
    </row>
    <row r="4" spans="1:10" ht="15.75" thickBot="1" x14ac:dyDescent="0.3">
      <c r="B4" s="28" t="s">
        <v>1999</v>
      </c>
      <c r="C4" s="361">
        <v>0</v>
      </c>
      <c r="D4" s="361">
        <v>14</v>
      </c>
      <c r="E4" s="52">
        <f>(C4*12)+D4</f>
        <v>14</v>
      </c>
      <c r="F4" s="53">
        <f>(C4*39.37)+(D4*0.3936996)</f>
        <v>5.5117943999999994</v>
      </c>
    </row>
    <row r="5" spans="1:10" ht="15" x14ac:dyDescent="0.25">
      <c r="B5" s="28"/>
      <c r="C5" s="704"/>
      <c r="D5" s="704"/>
      <c r="E5" s="52">
        <f>(0.79*E3*E3)*(E4/3)</f>
        <v>235.94666666666669</v>
      </c>
      <c r="F5" s="52">
        <f>(0.79*F3*F3)*(F4/3)</f>
        <v>14.398218730802865</v>
      </c>
    </row>
    <row r="6" spans="1:10" ht="13.5" thickBot="1" x14ac:dyDescent="0.25">
      <c r="C6" s="29"/>
      <c r="E6" s="52"/>
      <c r="F6" s="54"/>
    </row>
    <row r="7" spans="1:10" ht="13.5" thickBot="1" x14ac:dyDescent="0.25">
      <c r="B7" s="30" t="s">
        <v>1958</v>
      </c>
      <c r="C7" s="557">
        <f>IF(E1=1,E5,F5)</f>
        <v>235.94666666666669</v>
      </c>
      <c r="D7" s="27" t="s">
        <v>2098</v>
      </c>
    </row>
    <row r="8" spans="1:10" ht="14.25" x14ac:dyDescent="0.2">
      <c r="B8" s="31"/>
      <c r="C8" s="554" t="str">
        <f>IF(E1=2,C7*(2.54)^3,"")</f>
        <v/>
      </c>
      <c r="D8" s="27" t="str">
        <f>IF(E1=2,"cubic centimeters","")</f>
        <v/>
      </c>
      <c r="E8" s="27"/>
    </row>
    <row r="9" spans="1:10" ht="14.25" x14ac:dyDescent="0.2">
      <c r="B9" s="31"/>
      <c r="C9" s="31"/>
      <c r="D9" s="32"/>
    </row>
    <row r="10" spans="1:10" x14ac:dyDescent="0.2">
      <c r="A10" s="33"/>
      <c r="C10" s="885" t="str">
        <f>IF(MASTERSWITCH=1,"EVALUATION PERIOD EXPIRED!","")</f>
        <v/>
      </c>
      <c r="D10" s="885"/>
      <c r="E10" s="885"/>
    </row>
    <row r="11" spans="1:10" x14ac:dyDescent="0.2">
      <c r="C11" s="885" t="str">
        <f>IF(MASTERSWITCH=1,"PLEASE PURCHASE LICENSE TO","")</f>
        <v/>
      </c>
      <c r="D11" s="885"/>
      <c r="E11" s="885"/>
    </row>
    <row r="12" spans="1:10" x14ac:dyDescent="0.2">
      <c r="A12" s="34"/>
      <c r="C12" s="885" t="str">
        <f>IF(MASTERSWITCH=1,"CONTINUE USING THIS PROGRAM","")</f>
        <v/>
      </c>
      <c r="D12" s="885"/>
      <c r="E12" s="885"/>
      <c r="F12" s="56"/>
      <c r="G12" s="56"/>
      <c r="H12" s="56"/>
      <c r="I12" s="56"/>
      <c r="J12" s="56"/>
    </row>
    <row r="13" spans="1:10" x14ac:dyDescent="0.2">
      <c r="F13" s="56"/>
      <c r="G13" s="56"/>
      <c r="H13" s="56"/>
      <c r="I13" s="56"/>
      <c r="J13" s="56"/>
    </row>
    <row r="14" spans="1:10" x14ac:dyDescent="0.2">
      <c r="F14" s="56"/>
      <c r="G14" s="56"/>
      <c r="H14" s="56"/>
      <c r="I14" s="56"/>
      <c r="J14" s="56"/>
    </row>
    <row r="15" spans="1:10" x14ac:dyDescent="0.2">
      <c r="F15" s="56"/>
      <c r="G15" s="56"/>
      <c r="H15" s="56"/>
      <c r="I15" s="56"/>
      <c r="J15" s="56"/>
    </row>
    <row r="16" spans="1:10" ht="13.5" thickBot="1" x14ac:dyDescent="0.25">
      <c r="F16" s="701"/>
      <c r="G16" s="701"/>
      <c r="H16" s="701"/>
      <c r="I16" s="701"/>
      <c r="J16" s="56"/>
    </row>
    <row r="17" spans="1:10" ht="15.75" thickBot="1" x14ac:dyDescent="0.25">
      <c r="B17" s="37" t="s">
        <v>1960</v>
      </c>
      <c r="C17" s="555">
        <f>IF(E20=1,E17,SUM(E17)*(0.4536))</f>
        <v>67</v>
      </c>
      <c r="D17" s="33" t="str">
        <f>IF(E20=1,"Pounds","Kilograms")</f>
        <v>Pounds</v>
      </c>
      <c r="E17" s="56">
        <f>ROUNDUP(($C$7*C20),0)</f>
        <v>67</v>
      </c>
      <c r="F17" s="701"/>
      <c r="G17" s="701"/>
      <c r="H17" s="701"/>
      <c r="I17" s="701"/>
      <c r="J17" s="56"/>
    </row>
    <row r="18" spans="1:10" ht="15.75" thickBot="1" x14ac:dyDescent="0.25">
      <c r="B18" s="37" t="s">
        <v>1960</v>
      </c>
      <c r="C18" s="556">
        <f>IF(E20=1,E17/2000,E17/2205)</f>
        <v>3.3500000000000002E-2</v>
      </c>
      <c r="D18" s="39" t="str">
        <f>IF(E20=1,"ton(s)","metric ton(s)")</f>
        <v>ton(s)</v>
      </c>
      <c r="F18" s="56"/>
      <c r="G18" s="56"/>
      <c r="H18" s="56"/>
      <c r="I18" s="56"/>
      <c r="J18" s="56"/>
    </row>
    <row r="20" spans="1:10" x14ac:dyDescent="0.2">
      <c r="A20" s="886" t="s">
        <v>1963</v>
      </c>
      <c r="B20" s="886"/>
      <c r="C20" s="40">
        <f>LOOKUP(D20,LUweight)</f>
        <v>0.28356481481481483</v>
      </c>
      <c r="D20" s="41">
        <v>18</v>
      </c>
      <c r="E20" s="35">
        <v>1</v>
      </c>
    </row>
    <row r="21" spans="1:10" x14ac:dyDescent="0.2">
      <c r="D21" s="56"/>
      <c r="E21" s="42"/>
    </row>
    <row r="25" spans="1:10" ht="13.5" thickBot="1" x14ac:dyDescent="0.25">
      <c r="A25" s="884" t="s">
        <v>2093</v>
      </c>
      <c r="B25" s="884"/>
    </row>
    <row r="26" spans="1:10" x14ac:dyDescent="0.2">
      <c r="B26" s="874"/>
      <c r="C26" s="875"/>
      <c r="D26" s="875"/>
      <c r="E26" s="875"/>
      <c r="F26" s="875"/>
      <c r="G26" s="875"/>
      <c r="H26" s="875"/>
      <c r="I26" s="876"/>
    </row>
    <row r="27" spans="1:10" x14ac:dyDescent="0.2">
      <c r="B27" s="877"/>
      <c r="C27" s="878"/>
      <c r="D27" s="878"/>
      <c r="E27" s="878"/>
      <c r="F27" s="878"/>
      <c r="G27" s="878"/>
      <c r="H27" s="878"/>
      <c r="I27" s="879"/>
    </row>
    <row r="28" spans="1:10" x14ac:dyDescent="0.2">
      <c r="B28" s="877"/>
      <c r="C28" s="878"/>
      <c r="D28" s="878"/>
      <c r="E28" s="878"/>
      <c r="F28" s="878"/>
      <c r="G28" s="878"/>
      <c r="H28" s="878"/>
      <c r="I28" s="879"/>
    </row>
    <row r="29" spans="1:10" x14ac:dyDescent="0.2">
      <c r="B29" s="877"/>
      <c r="C29" s="878"/>
      <c r="D29" s="878"/>
      <c r="E29" s="878"/>
      <c r="F29" s="878"/>
      <c r="G29" s="878"/>
      <c r="H29" s="878"/>
      <c r="I29" s="879"/>
    </row>
    <row r="30" spans="1:10" ht="13.5" thickBot="1" x14ac:dyDescent="0.25">
      <c r="B30" s="880"/>
      <c r="C30" s="881"/>
      <c r="D30" s="881"/>
      <c r="E30" s="881"/>
      <c r="F30" s="881"/>
      <c r="G30" s="881"/>
      <c r="H30" s="881"/>
      <c r="I30" s="882"/>
    </row>
  </sheetData>
  <sheetProtection password="D809" sheet="1" objects="1" scenarios="1" selectLockedCells="1"/>
  <mergeCells count="6">
    <mergeCell ref="B26:I30"/>
    <mergeCell ref="A20:B20"/>
    <mergeCell ref="A25:B25"/>
    <mergeCell ref="C10:E10"/>
    <mergeCell ref="C11:E11"/>
    <mergeCell ref="C12:E12"/>
  </mergeCells>
  <phoneticPr fontId="15" type="noConversion"/>
  <conditionalFormatting sqref="D17">
    <cfRule type="cellIs" dxfId="153" priority="1" stopIfTrue="1" operator="equal">
      <formula>"Kilograms"</formula>
    </cfRule>
  </conditionalFormatting>
  <conditionalFormatting sqref="D18">
    <cfRule type="cellIs" dxfId="152" priority="2" stopIfTrue="1" operator="equal">
      <formula>"metric ton(s)"</formula>
    </cfRule>
  </conditionalFormatting>
  <conditionalFormatting sqref="C2">
    <cfRule type="cellIs" dxfId="151" priority="3" stopIfTrue="1" operator="equal">
      <formula>"METER"</formula>
    </cfRule>
  </conditionalFormatting>
  <conditionalFormatting sqref="D2">
    <cfRule type="cellIs" dxfId="150" priority="4" stopIfTrue="1" operator="equal">
      <formula>"cm"</formula>
    </cfRule>
  </conditionalFormatting>
  <conditionalFormatting sqref="C3:D4">
    <cfRule type="expression" dxfId="149" priority="5" stopIfTrue="1">
      <formula>(MASTERSWITCH=1)</formula>
    </cfRule>
  </conditionalFormatting>
  <conditionalFormatting sqref="C10:E12">
    <cfRule type="expression" dxfId="148" priority="6" stopIfTrue="1">
      <formula>(MASTERSWITCH=1)</formula>
    </cfRule>
  </conditionalFormatting>
  <hyperlinks>
    <hyperlink ref="A20:B20" location="Weights!A1" display="  Material type ="/>
  </hyperlinks>
  <printOptions horizontalCentered="1"/>
  <pageMargins left="0.75" right="0.75" top="1.75" bottom="1.5" header="0.5" footer="0.5"/>
  <pageSetup scale="86" orientation="portrait" horizontalDpi="0" verticalDpi="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6865" r:id="rId5" name="Drop Down 1">
              <controlPr locked="0" defaultSize="0" autoFill="0" autoLine="0" autoPict="0">
                <anchor moveWithCells="1">
                  <from>
                    <xdr:col>2</xdr:col>
                    <xdr:colOff>57150</xdr:colOff>
                    <xdr:row>18</xdr:row>
                    <xdr:rowOff>123825</xdr:rowOff>
                  </from>
                  <to>
                    <xdr:col>5</xdr:col>
                    <xdr:colOff>285750</xdr:colOff>
                    <xdr:row>20</xdr:row>
                    <xdr:rowOff>19050</xdr:rowOff>
                  </to>
                </anchor>
              </controlPr>
            </control>
          </mc:Choice>
        </mc:AlternateContent>
        <mc:AlternateContent xmlns:mc="http://schemas.openxmlformats.org/markup-compatibility/2006">
          <mc:Choice Requires="x14">
            <control shapeId="36869" r:id="rId6" name="Option Button 5">
              <controlPr locked="0" defaultSize="0" autoFill="0" autoLine="0" autoPict="0">
                <anchor moveWithCells="1" sizeWithCells="1">
                  <from>
                    <xdr:col>4</xdr:col>
                    <xdr:colOff>247650</xdr:colOff>
                    <xdr:row>15</xdr:row>
                    <xdr:rowOff>114300</xdr:rowOff>
                  </from>
                  <to>
                    <xdr:col>5</xdr:col>
                    <xdr:colOff>514350</xdr:colOff>
                    <xdr:row>16</xdr:row>
                    <xdr:rowOff>161925</xdr:rowOff>
                  </to>
                </anchor>
              </controlPr>
            </control>
          </mc:Choice>
        </mc:AlternateContent>
        <mc:AlternateContent xmlns:mc="http://schemas.openxmlformats.org/markup-compatibility/2006">
          <mc:Choice Requires="x14">
            <control shapeId="36870" r:id="rId7" name="Option Button 6">
              <controlPr locked="0" defaultSize="0" autoFill="0" autoLine="0" autoPict="0">
                <anchor moveWithCells="1" sizeWithCells="1">
                  <from>
                    <xdr:col>4</xdr:col>
                    <xdr:colOff>238125</xdr:colOff>
                    <xdr:row>16</xdr:row>
                    <xdr:rowOff>123825</xdr:rowOff>
                  </from>
                  <to>
                    <xdr:col>5</xdr:col>
                    <xdr:colOff>400050</xdr:colOff>
                    <xdr:row>17</xdr:row>
                    <xdr:rowOff>142875</xdr:rowOff>
                  </to>
                </anchor>
              </controlPr>
            </control>
          </mc:Choice>
        </mc:AlternateContent>
        <mc:AlternateContent xmlns:mc="http://schemas.openxmlformats.org/markup-compatibility/2006">
          <mc:Choice Requires="x14">
            <control shapeId="36871" r:id="rId8" name="Group Box 7">
              <controlPr locked="0" defaultSize="0" autoFill="0" autoPict="0" altText="Display Units">
                <anchor moveWithCells="1" sizeWithCells="1">
                  <from>
                    <xdr:col>4</xdr:col>
                    <xdr:colOff>171450</xdr:colOff>
                    <xdr:row>15</xdr:row>
                    <xdr:rowOff>47625</xdr:rowOff>
                  </from>
                  <to>
                    <xdr:col>5</xdr:col>
                    <xdr:colOff>523875</xdr:colOff>
                    <xdr:row>17</xdr:row>
                    <xdr:rowOff>152400</xdr:rowOff>
                  </to>
                </anchor>
              </controlPr>
            </control>
          </mc:Choice>
        </mc:AlternateContent>
        <mc:AlternateContent xmlns:mc="http://schemas.openxmlformats.org/markup-compatibility/2006">
          <mc:Choice Requires="x14">
            <control shapeId="36876" r:id="rId9" name="Option Button 12">
              <controlPr defaultSize="0" autoFill="0" autoLine="0" autoPict="0">
                <anchor moveWithCells="1" sizeWithCells="1">
                  <from>
                    <xdr:col>4</xdr:col>
                    <xdr:colOff>142875</xdr:colOff>
                    <xdr:row>2</xdr:row>
                    <xdr:rowOff>0</xdr:rowOff>
                  </from>
                  <to>
                    <xdr:col>4</xdr:col>
                    <xdr:colOff>581025</xdr:colOff>
                    <xdr:row>3</xdr:row>
                    <xdr:rowOff>19050</xdr:rowOff>
                  </to>
                </anchor>
              </controlPr>
            </control>
          </mc:Choice>
        </mc:AlternateContent>
        <mc:AlternateContent xmlns:mc="http://schemas.openxmlformats.org/markup-compatibility/2006">
          <mc:Choice Requires="x14">
            <control shapeId="36877" r:id="rId10" name="Option Button 13">
              <controlPr defaultSize="0" autoFill="0" autoLine="0" autoPict="0">
                <anchor moveWithCells="1" sizeWithCells="1">
                  <from>
                    <xdr:col>4</xdr:col>
                    <xdr:colOff>561975</xdr:colOff>
                    <xdr:row>2</xdr:row>
                    <xdr:rowOff>0</xdr:rowOff>
                  </from>
                  <to>
                    <xdr:col>5</xdr:col>
                    <xdr:colOff>495300</xdr:colOff>
                    <xdr:row>3</xdr:row>
                    <xdr:rowOff>19050</xdr:rowOff>
                  </to>
                </anchor>
              </controlPr>
            </control>
          </mc:Choice>
        </mc:AlternateContent>
        <mc:AlternateContent xmlns:mc="http://schemas.openxmlformats.org/markup-compatibility/2006">
          <mc:Choice Requires="x14">
            <control shapeId="36878" r:id="rId11" name="Group Box 14">
              <controlPr defaultSize="0" autoFill="0" autoPict="0">
                <anchor moveWithCells="1" sizeWithCells="1">
                  <from>
                    <xdr:col>4</xdr:col>
                    <xdr:colOff>104775</xdr:colOff>
                    <xdr:row>1</xdr:row>
                    <xdr:rowOff>152400</xdr:rowOff>
                  </from>
                  <to>
                    <xdr:col>5</xdr:col>
                    <xdr:colOff>571500</xdr:colOff>
                    <xdr:row>3</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J30"/>
  <sheetViews>
    <sheetView showRowColHeaders="0" workbookViewId="0">
      <selection activeCell="C3" sqref="C3"/>
    </sheetView>
  </sheetViews>
  <sheetFormatPr defaultRowHeight="12.75" x14ac:dyDescent="0.2"/>
  <cols>
    <col min="1" max="2" width="14.5703125" style="25" customWidth="1"/>
    <col min="3" max="3" width="14.140625" style="25" customWidth="1"/>
    <col min="4" max="4" width="11.7109375" style="25" customWidth="1"/>
    <col min="5" max="16384" width="9.140625" style="25"/>
  </cols>
  <sheetData>
    <row r="1" spans="1:10" x14ac:dyDescent="0.2">
      <c r="A1" s="23"/>
      <c r="E1" s="55">
        <v>1</v>
      </c>
    </row>
    <row r="2" spans="1:10" ht="15.75" thickBot="1" x14ac:dyDescent="0.3">
      <c r="A2" s="26"/>
      <c r="C2" s="45" t="str">
        <f>IF(E1=1,"FEET","METER")</f>
        <v>FEET</v>
      </c>
      <c r="D2" s="45" t="str">
        <f>IF(E1=1,"inches","cm")</f>
        <v>inches</v>
      </c>
      <c r="E2" s="52" t="s">
        <v>2099</v>
      </c>
      <c r="F2" s="52" t="s">
        <v>698</v>
      </c>
      <c r="H2" s="27"/>
    </row>
    <row r="3" spans="1:10" ht="15.75" thickBot="1" x14ac:dyDescent="0.3">
      <c r="B3" s="28" t="s">
        <v>2100</v>
      </c>
      <c r="C3" s="361">
        <v>0</v>
      </c>
      <c r="D3" s="361">
        <v>4</v>
      </c>
      <c r="E3" s="52">
        <f>((C3*12)+D3)/2</f>
        <v>2</v>
      </c>
      <c r="F3" s="53">
        <f>((C3*39.37)+(D3*0.3936996))/2</f>
        <v>0.78739919999999997</v>
      </c>
    </row>
    <row r="4" spans="1:10" ht="15" x14ac:dyDescent="0.25">
      <c r="B4" s="28"/>
      <c r="C4" s="704"/>
      <c r="D4" s="704"/>
      <c r="E4" s="52">
        <f>4/3*3.14159265359*((E3)*(E3)*(E3))</f>
        <v>33.510321638293334</v>
      </c>
      <c r="F4" s="52">
        <f>4/3*3.14159265359*((F3)*(F3)*(F3))</f>
        <v>2.0449067897591418</v>
      </c>
    </row>
    <row r="5" spans="1:10" ht="15" x14ac:dyDescent="0.25">
      <c r="B5" s="28"/>
      <c r="C5" s="704"/>
      <c r="D5" s="704"/>
      <c r="E5" s="52"/>
      <c r="F5" s="53"/>
    </row>
    <row r="6" spans="1:10" ht="13.5" thickBot="1" x14ac:dyDescent="0.25">
      <c r="C6" s="705"/>
      <c r="D6" s="56"/>
      <c r="E6" s="52"/>
      <c r="F6" s="54"/>
    </row>
    <row r="7" spans="1:10" ht="13.5" thickBot="1" x14ac:dyDescent="0.25">
      <c r="B7" s="30" t="s">
        <v>1958</v>
      </c>
      <c r="C7" s="557">
        <f>IF(E1=1,E4,F4)</f>
        <v>33.510321638293334</v>
      </c>
      <c r="D7" s="27" t="s">
        <v>2098</v>
      </c>
    </row>
    <row r="8" spans="1:10" ht="14.25" x14ac:dyDescent="0.2">
      <c r="B8" s="31"/>
      <c r="C8" s="246" t="str">
        <f>IF(E1=2,C7*(2.54)^3,"")</f>
        <v/>
      </c>
      <c r="D8" s="27" t="str">
        <f>IF(E1=2,"cubic centimeters","")</f>
        <v/>
      </c>
      <c r="E8" s="27"/>
    </row>
    <row r="9" spans="1:10" ht="14.25" x14ac:dyDescent="0.2">
      <c r="B9" s="31"/>
      <c r="C9" s="31"/>
      <c r="D9" s="32"/>
      <c r="E9" s="56"/>
      <c r="F9" s="56"/>
      <c r="G9" s="56"/>
      <c r="H9" s="56"/>
      <c r="I9" s="56"/>
      <c r="J9" s="56"/>
    </row>
    <row r="10" spans="1:10" x14ac:dyDescent="0.2">
      <c r="A10" s="33"/>
      <c r="E10" s="56"/>
      <c r="F10" s="56"/>
      <c r="G10" s="56"/>
      <c r="H10" s="56"/>
      <c r="I10" s="56"/>
      <c r="J10" s="56"/>
    </row>
    <row r="11" spans="1:10" x14ac:dyDescent="0.2">
      <c r="B11" s="885" t="str">
        <f>IF(MASTERSWITCH=1,"EVALUATION PERIOD EXPIRED!","")</f>
        <v/>
      </c>
      <c r="C11" s="885"/>
      <c r="D11" s="885"/>
      <c r="E11" s="56"/>
      <c r="F11" s="56"/>
      <c r="G11" s="56"/>
      <c r="H11" s="56"/>
      <c r="I11" s="56"/>
      <c r="J11" s="56"/>
    </row>
    <row r="12" spans="1:10" x14ac:dyDescent="0.2">
      <c r="A12" s="34"/>
      <c r="B12" s="885" t="str">
        <f>IF(MASTERSWITCH=1,"PLEASE PURCHASE LICENSE TO","")</f>
        <v/>
      </c>
      <c r="C12" s="885"/>
      <c r="D12" s="885"/>
      <c r="E12" s="56"/>
      <c r="F12" s="56"/>
      <c r="G12" s="56"/>
      <c r="H12" s="56"/>
      <c r="I12" s="56"/>
      <c r="J12" s="56"/>
    </row>
    <row r="13" spans="1:10" x14ac:dyDescent="0.2">
      <c r="B13" s="885" t="str">
        <f>IF(MASTERSWITCH=1,"CONTINUE USING THIS PROGRAM","")</f>
        <v/>
      </c>
      <c r="C13" s="885"/>
      <c r="D13" s="885"/>
      <c r="E13" s="56"/>
      <c r="F13" s="56"/>
      <c r="G13" s="56"/>
      <c r="H13" s="56"/>
      <c r="I13" s="56"/>
      <c r="J13" s="56"/>
    </row>
    <row r="14" spans="1:10" x14ac:dyDescent="0.2">
      <c r="E14" s="56"/>
      <c r="F14" s="56"/>
      <c r="G14" s="56"/>
      <c r="H14" s="56"/>
      <c r="I14" s="56"/>
      <c r="J14" s="56"/>
    </row>
    <row r="15" spans="1:10" x14ac:dyDescent="0.2">
      <c r="E15" s="56"/>
      <c r="F15" s="56"/>
      <c r="G15" s="56"/>
      <c r="H15" s="56"/>
      <c r="I15" s="56"/>
      <c r="J15" s="56"/>
    </row>
    <row r="16" spans="1:10" ht="13.5" thickBot="1" x14ac:dyDescent="0.25">
      <c r="F16" s="701"/>
      <c r="G16" s="701"/>
      <c r="H16" s="701"/>
      <c r="I16" s="701"/>
      <c r="J16" s="56"/>
    </row>
    <row r="17" spans="1:10" ht="15.75" thickBot="1" x14ac:dyDescent="0.25">
      <c r="B17" s="37" t="s">
        <v>1960</v>
      </c>
      <c r="C17" s="555">
        <f>IF(E20=1,E17,SUM(E17)*(0.4536))</f>
        <v>10</v>
      </c>
      <c r="D17" s="33" t="str">
        <f>IF(E20=1,"Pounds","Kilograms")</f>
        <v>Pounds</v>
      </c>
      <c r="E17" s="56">
        <f>ROUNDUP(($C$7*C20),0)</f>
        <v>10</v>
      </c>
      <c r="F17" s="38"/>
      <c r="G17" s="701"/>
      <c r="H17" s="701"/>
      <c r="I17" s="701"/>
      <c r="J17" s="56"/>
    </row>
    <row r="18" spans="1:10" ht="15.75" thickBot="1" x14ac:dyDescent="0.25">
      <c r="B18" s="37" t="s">
        <v>1960</v>
      </c>
      <c r="C18" s="556">
        <f>IF(E20=1,E17/2000,E17/2205)</f>
        <v>5.0000000000000001E-3</v>
      </c>
      <c r="D18" s="39" t="str">
        <f>IF(E20=1,"ton(s)","metric ton(s)")</f>
        <v>ton(s)</v>
      </c>
      <c r="G18" s="56"/>
      <c r="H18" s="56"/>
      <c r="I18" s="56"/>
      <c r="J18" s="56"/>
    </row>
    <row r="19" spans="1:10" x14ac:dyDescent="0.2">
      <c r="G19" s="56"/>
      <c r="H19" s="56"/>
      <c r="I19" s="56"/>
      <c r="J19" s="56"/>
    </row>
    <row r="20" spans="1:10" x14ac:dyDescent="0.2">
      <c r="A20" s="886" t="s">
        <v>1963</v>
      </c>
      <c r="B20" s="886"/>
      <c r="C20" s="40">
        <f>LOOKUP(D20,LUweight)</f>
        <v>0.28356481481481483</v>
      </c>
      <c r="D20" s="41">
        <v>18</v>
      </c>
      <c r="E20" s="35">
        <v>1</v>
      </c>
    </row>
    <row r="21" spans="1:10" x14ac:dyDescent="0.2">
      <c r="D21" s="56"/>
      <c r="E21" s="42"/>
    </row>
    <row r="25" spans="1:10" ht="13.5" thickBot="1" x14ac:dyDescent="0.25">
      <c r="A25" s="884" t="s">
        <v>2093</v>
      </c>
      <c r="B25" s="884"/>
    </row>
    <row r="26" spans="1:10" x14ac:dyDescent="0.2">
      <c r="B26" s="874"/>
      <c r="C26" s="875"/>
      <c r="D26" s="875"/>
      <c r="E26" s="875"/>
      <c r="F26" s="875"/>
      <c r="G26" s="875"/>
      <c r="H26" s="875"/>
      <c r="I26" s="876"/>
    </row>
    <row r="27" spans="1:10" x14ac:dyDescent="0.2">
      <c r="B27" s="877"/>
      <c r="C27" s="878"/>
      <c r="D27" s="878"/>
      <c r="E27" s="878"/>
      <c r="F27" s="878"/>
      <c r="G27" s="878"/>
      <c r="H27" s="878"/>
      <c r="I27" s="879"/>
    </row>
    <row r="28" spans="1:10" x14ac:dyDescent="0.2">
      <c r="B28" s="877"/>
      <c r="C28" s="878"/>
      <c r="D28" s="878"/>
      <c r="E28" s="878"/>
      <c r="F28" s="878"/>
      <c r="G28" s="878"/>
      <c r="H28" s="878"/>
      <c r="I28" s="879"/>
    </row>
    <row r="29" spans="1:10" x14ac:dyDescent="0.2">
      <c r="B29" s="877"/>
      <c r="C29" s="878"/>
      <c r="D29" s="878"/>
      <c r="E29" s="878"/>
      <c r="F29" s="878"/>
      <c r="G29" s="878"/>
      <c r="H29" s="878"/>
      <c r="I29" s="879"/>
    </row>
    <row r="30" spans="1:10" ht="13.5" thickBot="1" x14ac:dyDescent="0.25">
      <c r="B30" s="880"/>
      <c r="C30" s="881"/>
      <c r="D30" s="881"/>
      <c r="E30" s="881"/>
      <c r="F30" s="881"/>
      <c r="G30" s="881"/>
      <c r="H30" s="881"/>
      <c r="I30" s="882"/>
    </row>
  </sheetData>
  <sheetProtection password="D809" sheet="1" objects="1" scenarios="1" selectLockedCells="1"/>
  <mergeCells count="6">
    <mergeCell ref="B26:I30"/>
    <mergeCell ref="A20:B20"/>
    <mergeCell ref="A25:B25"/>
    <mergeCell ref="B11:D11"/>
    <mergeCell ref="B12:D12"/>
    <mergeCell ref="B13:D13"/>
  </mergeCells>
  <phoneticPr fontId="15" type="noConversion"/>
  <conditionalFormatting sqref="D17">
    <cfRule type="cellIs" dxfId="147" priority="1" stopIfTrue="1" operator="equal">
      <formula>"Kilograms"</formula>
    </cfRule>
  </conditionalFormatting>
  <conditionalFormatting sqref="D18">
    <cfRule type="cellIs" dxfId="146" priority="2" stopIfTrue="1" operator="equal">
      <formula>"metric ton(s)"</formula>
    </cfRule>
  </conditionalFormatting>
  <conditionalFormatting sqref="C2">
    <cfRule type="cellIs" dxfId="145" priority="3" stopIfTrue="1" operator="equal">
      <formula>"METER"</formula>
    </cfRule>
  </conditionalFormatting>
  <conditionalFormatting sqref="D2">
    <cfRule type="cellIs" dxfId="144" priority="4" stopIfTrue="1" operator="equal">
      <formula>"cm"</formula>
    </cfRule>
  </conditionalFormatting>
  <conditionalFormatting sqref="C3:D3">
    <cfRule type="expression" dxfId="143" priority="5" stopIfTrue="1">
      <formula>(MASTERSWITCH=1)</formula>
    </cfRule>
  </conditionalFormatting>
  <conditionalFormatting sqref="B11:D13">
    <cfRule type="expression" dxfId="142" priority="6" stopIfTrue="1">
      <formula>(MASTERSWITCH=1)</formula>
    </cfRule>
  </conditionalFormatting>
  <hyperlinks>
    <hyperlink ref="A20:B20" location="Weights!A1" display="  Material type ="/>
  </hyperlinks>
  <printOptions horizontalCentered="1"/>
  <pageMargins left="0.75" right="0.75" top="1.75" bottom="1.5" header="0.5" footer="0.5"/>
  <pageSetup scale="83" orientation="portrait" horizontalDpi="0" verticalDpi="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8913" r:id="rId5" name="Drop Down 1">
              <controlPr locked="0" defaultSize="0" autoFill="0" autoLine="0" autoPict="0">
                <anchor moveWithCells="1">
                  <from>
                    <xdr:col>2</xdr:col>
                    <xdr:colOff>57150</xdr:colOff>
                    <xdr:row>18</xdr:row>
                    <xdr:rowOff>123825</xdr:rowOff>
                  </from>
                  <to>
                    <xdr:col>5</xdr:col>
                    <xdr:colOff>285750</xdr:colOff>
                    <xdr:row>20</xdr:row>
                    <xdr:rowOff>19050</xdr:rowOff>
                  </to>
                </anchor>
              </controlPr>
            </control>
          </mc:Choice>
        </mc:AlternateContent>
        <mc:AlternateContent xmlns:mc="http://schemas.openxmlformats.org/markup-compatibility/2006">
          <mc:Choice Requires="x14">
            <control shapeId="38917" r:id="rId6" name="Option Button 5">
              <controlPr locked="0" defaultSize="0" autoFill="0" autoLine="0" autoPict="0">
                <anchor moveWithCells="1" sizeWithCells="1">
                  <from>
                    <xdr:col>4</xdr:col>
                    <xdr:colOff>247650</xdr:colOff>
                    <xdr:row>15</xdr:row>
                    <xdr:rowOff>114300</xdr:rowOff>
                  </from>
                  <to>
                    <xdr:col>5</xdr:col>
                    <xdr:colOff>514350</xdr:colOff>
                    <xdr:row>16</xdr:row>
                    <xdr:rowOff>161925</xdr:rowOff>
                  </to>
                </anchor>
              </controlPr>
            </control>
          </mc:Choice>
        </mc:AlternateContent>
        <mc:AlternateContent xmlns:mc="http://schemas.openxmlformats.org/markup-compatibility/2006">
          <mc:Choice Requires="x14">
            <control shapeId="38918" r:id="rId7" name="Option Button 6">
              <controlPr locked="0" defaultSize="0" autoFill="0" autoLine="0" autoPict="0">
                <anchor moveWithCells="1" sizeWithCells="1">
                  <from>
                    <xdr:col>4</xdr:col>
                    <xdr:colOff>238125</xdr:colOff>
                    <xdr:row>16</xdr:row>
                    <xdr:rowOff>123825</xdr:rowOff>
                  </from>
                  <to>
                    <xdr:col>5</xdr:col>
                    <xdr:colOff>400050</xdr:colOff>
                    <xdr:row>17</xdr:row>
                    <xdr:rowOff>142875</xdr:rowOff>
                  </to>
                </anchor>
              </controlPr>
            </control>
          </mc:Choice>
        </mc:AlternateContent>
        <mc:AlternateContent xmlns:mc="http://schemas.openxmlformats.org/markup-compatibility/2006">
          <mc:Choice Requires="x14">
            <control shapeId="38919" r:id="rId8" name="Group Box 7">
              <controlPr locked="0" defaultSize="0" autoFill="0" autoPict="0" altText="Display Units">
                <anchor moveWithCells="1" sizeWithCells="1">
                  <from>
                    <xdr:col>4</xdr:col>
                    <xdr:colOff>171450</xdr:colOff>
                    <xdr:row>15</xdr:row>
                    <xdr:rowOff>47625</xdr:rowOff>
                  </from>
                  <to>
                    <xdr:col>5</xdr:col>
                    <xdr:colOff>523875</xdr:colOff>
                    <xdr:row>17</xdr:row>
                    <xdr:rowOff>152400</xdr:rowOff>
                  </to>
                </anchor>
              </controlPr>
            </control>
          </mc:Choice>
        </mc:AlternateContent>
        <mc:AlternateContent xmlns:mc="http://schemas.openxmlformats.org/markup-compatibility/2006">
          <mc:Choice Requires="x14">
            <control shapeId="38924" r:id="rId9" name="Option Button 12">
              <controlPr defaultSize="0" autoFill="0" autoLine="0" autoPict="0">
                <anchor moveWithCells="1" sizeWithCells="1">
                  <from>
                    <xdr:col>4</xdr:col>
                    <xdr:colOff>133350</xdr:colOff>
                    <xdr:row>2</xdr:row>
                    <xdr:rowOff>19050</xdr:rowOff>
                  </from>
                  <to>
                    <xdr:col>4</xdr:col>
                    <xdr:colOff>571500</xdr:colOff>
                    <xdr:row>3</xdr:row>
                    <xdr:rowOff>38100</xdr:rowOff>
                  </to>
                </anchor>
              </controlPr>
            </control>
          </mc:Choice>
        </mc:AlternateContent>
        <mc:AlternateContent xmlns:mc="http://schemas.openxmlformats.org/markup-compatibility/2006">
          <mc:Choice Requires="x14">
            <control shapeId="38925" r:id="rId10" name="Option Button 13">
              <controlPr defaultSize="0" autoFill="0" autoLine="0" autoPict="0">
                <anchor moveWithCells="1" sizeWithCells="1">
                  <from>
                    <xdr:col>4</xdr:col>
                    <xdr:colOff>552450</xdr:colOff>
                    <xdr:row>2</xdr:row>
                    <xdr:rowOff>19050</xdr:rowOff>
                  </from>
                  <to>
                    <xdr:col>5</xdr:col>
                    <xdr:colOff>485775</xdr:colOff>
                    <xdr:row>3</xdr:row>
                    <xdr:rowOff>38100</xdr:rowOff>
                  </to>
                </anchor>
              </controlPr>
            </control>
          </mc:Choice>
        </mc:AlternateContent>
        <mc:AlternateContent xmlns:mc="http://schemas.openxmlformats.org/markup-compatibility/2006">
          <mc:Choice Requires="x14">
            <control shapeId="38926" r:id="rId11" name="Group Box 14">
              <controlPr defaultSize="0" autoFill="0" autoPict="0">
                <anchor moveWithCells="1" sizeWithCells="1">
                  <from>
                    <xdr:col>4</xdr:col>
                    <xdr:colOff>95250</xdr:colOff>
                    <xdr:row>1</xdr:row>
                    <xdr:rowOff>171450</xdr:rowOff>
                  </from>
                  <to>
                    <xdr:col>5</xdr:col>
                    <xdr:colOff>561975</xdr:colOff>
                    <xdr:row>3</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J30"/>
  <sheetViews>
    <sheetView showRowColHeaders="0" workbookViewId="0">
      <selection activeCell="C3" sqref="C3"/>
    </sheetView>
  </sheetViews>
  <sheetFormatPr defaultRowHeight="12.75" x14ac:dyDescent="0.2"/>
  <cols>
    <col min="1" max="1" width="14.85546875" style="25" customWidth="1"/>
    <col min="2" max="2" width="9" style="25" customWidth="1"/>
    <col min="3" max="3" width="14.140625" style="25" customWidth="1"/>
    <col min="4" max="4" width="11.7109375" style="25" customWidth="1"/>
    <col min="5" max="16384" width="9.140625" style="25"/>
  </cols>
  <sheetData>
    <row r="1" spans="1:10" x14ac:dyDescent="0.2">
      <c r="A1" s="23"/>
      <c r="E1" s="55">
        <v>1</v>
      </c>
    </row>
    <row r="2" spans="1:10" ht="15.75" thickBot="1" x14ac:dyDescent="0.3">
      <c r="A2" s="26"/>
      <c r="C2" s="45" t="str">
        <f>IF(E1=1,"FEET","METER")</f>
        <v>FEET</v>
      </c>
      <c r="D2" s="45" t="str">
        <f>IF(E1=1,"inches","cm")</f>
        <v>inches</v>
      </c>
      <c r="E2" s="52" t="s">
        <v>2099</v>
      </c>
      <c r="F2" s="52" t="s">
        <v>698</v>
      </c>
      <c r="H2" s="27"/>
    </row>
    <row r="3" spans="1:10" ht="15.75" thickBot="1" x14ac:dyDescent="0.3">
      <c r="B3" s="28" t="s">
        <v>1955</v>
      </c>
      <c r="C3" s="361">
        <v>0</v>
      </c>
      <c r="D3" s="361">
        <v>16</v>
      </c>
      <c r="E3" s="52">
        <f>(C3*12)+D3</f>
        <v>16</v>
      </c>
      <c r="F3" s="53">
        <f>(C3*39.37)+(D3*0.3936996)</f>
        <v>6.2991935999999997</v>
      </c>
    </row>
    <row r="4" spans="1:10" ht="15.75" thickBot="1" x14ac:dyDescent="0.3">
      <c r="B4" s="28" t="s">
        <v>1956</v>
      </c>
      <c r="C4" s="361">
        <v>0</v>
      </c>
      <c r="D4" s="361">
        <v>12</v>
      </c>
      <c r="E4" s="52">
        <f>(C4*12)+D4</f>
        <v>12</v>
      </c>
      <c r="F4" s="53">
        <f>(C4*39.37)+(D4*0.3936996)</f>
        <v>4.7243952</v>
      </c>
    </row>
    <row r="5" spans="1:10" ht="15.75" thickBot="1" x14ac:dyDescent="0.3">
      <c r="B5" s="28" t="s">
        <v>1957</v>
      </c>
      <c r="C5" s="361">
        <v>0</v>
      </c>
      <c r="D5" s="361">
        <v>12</v>
      </c>
      <c r="E5" s="52">
        <f>(C5*12)+D5</f>
        <v>12</v>
      </c>
      <c r="F5" s="53">
        <f>(C5*39.37)+(D5*0.3936996)</f>
        <v>4.7243952</v>
      </c>
    </row>
    <row r="6" spans="1:10" ht="13.5" thickBot="1" x14ac:dyDescent="0.25">
      <c r="C6" s="29"/>
      <c r="E6" s="52">
        <f>((E3*E4)/2)*E5</f>
        <v>1152</v>
      </c>
      <c r="F6" s="52">
        <f>((F3*F4)/2)*F5</f>
        <v>70.29871713050224</v>
      </c>
    </row>
    <row r="7" spans="1:10" ht="13.5" thickBot="1" x14ac:dyDescent="0.25">
      <c r="B7" s="30" t="s">
        <v>1958</v>
      </c>
      <c r="C7" s="557">
        <f>IF(E1=1,E6,F6)</f>
        <v>1152</v>
      </c>
      <c r="D7" s="27" t="s">
        <v>2098</v>
      </c>
    </row>
    <row r="8" spans="1:10" ht="14.25" x14ac:dyDescent="0.2">
      <c r="B8" s="31"/>
      <c r="C8" s="246" t="str">
        <f>IF(E1=2,C7*(2.54)^3,"")</f>
        <v/>
      </c>
      <c r="D8" s="27" t="str">
        <f>IF(E1=2,"cubic centimeters","")</f>
        <v/>
      </c>
      <c r="E8" s="27"/>
      <c r="F8" s="56"/>
      <c r="G8" s="56"/>
      <c r="H8" s="56"/>
      <c r="I8" s="56"/>
      <c r="J8" s="56"/>
    </row>
    <row r="9" spans="1:10" ht="14.25" x14ac:dyDescent="0.2">
      <c r="B9" s="31"/>
      <c r="C9" s="885" t="str">
        <f>IF(MASTERSWITCH=1,"EVALUATION PERIOD EXPIRED!","")</f>
        <v/>
      </c>
      <c r="D9" s="885"/>
      <c r="E9" s="885"/>
      <c r="F9" s="56"/>
      <c r="G9" s="56"/>
      <c r="H9" s="56"/>
      <c r="I9" s="56"/>
      <c r="J9" s="56"/>
    </row>
    <row r="10" spans="1:10" x14ac:dyDescent="0.2">
      <c r="A10" s="33"/>
      <c r="C10" s="885" t="str">
        <f>IF(MASTERSWITCH=1,"PLEASE PURCHASE LICENSE TO","")</f>
        <v/>
      </c>
      <c r="D10" s="885"/>
      <c r="E10" s="885"/>
      <c r="F10" s="56"/>
      <c r="G10" s="56"/>
      <c r="H10" s="56"/>
      <c r="I10" s="56"/>
      <c r="J10" s="56"/>
    </row>
    <row r="11" spans="1:10" x14ac:dyDescent="0.2">
      <c r="C11" s="885" t="str">
        <f>IF(MASTERSWITCH=1,"CONTINUE USING THIS PROGRAM","")</f>
        <v/>
      </c>
      <c r="D11" s="885"/>
      <c r="E11" s="885"/>
      <c r="F11" s="56"/>
      <c r="G11" s="56"/>
      <c r="H11" s="56"/>
      <c r="I11" s="56"/>
      <c r="J11" s="56"/>
    </row>
    <row r="12" spans="1:10" x14ac:dyDescent="0.2">
      <c r="A12" s="34"/>
      <c r="F12" s="56"/>
      <c r="G12" s="56"/>
      <c r="H12" s="56"/>
      <c r="I12" s="56"/>
      <c r="J12" s="56"/>
    </row>
    <row r="13" spans="1:10" x14ac:dyDescent="0.2">
      <c r="F13" s="56"/>
      <c r="G13" s="56"/>
      <c r="H13" s="56"/>
      <c r="I13" s="56"/>
      <c r="J13" s="56"/>
    </row>
    <row r="14" spans="1:10" x14ac:dyDescent="0.2">
      <c r="F14" s="56"/>
      <c r="G14" s="56"/>
      <c r="H14" s="56"/>
      <c r="I14" s="56"/>
      <c r="J14" s="56"/>
    </row>
    <row r="15" spans="1:10" x14ac:dyDescent="0.2">
      <c r="F15" s="56"/>
      <c r="G15" s="56"/>
      <c r="H15" s="56"/>
      <c r="I15" s="56"/>
      <c r="J15" s="56"/>
    </row>
    <row r="16" spans="1:10" ht="13.5" thickBot="1" x14ac:dyDescent="0.25">
      <c r="F16" s="36"/>
      <c r="G16" s="701"/>
      <c r="H16" s="701"/>
      <c r="I16" s="701"/>
      <c r="J16" s="56"/>
    </row>
    <row r="17" spans="1:10" ht="15.75" thickBot="1" x14ac:dyDescent="0.25">
      <c r="B17" s="37" t="s">
        <v>1960</v>
      </c>
      <c r="C17" s="555">
        <f>IF(E20=1,E17,SUM(E17)*(0.4536))</f>
        <v>357</v>
      </c>
      <c r="D17" s="33" t="str">
        <f>IF(E20=1,"Pounds","Kilograms")</f>
        <v>Pounds</v>
      </c>
      <c r="E17" s="56">
        <f>ROUNDUP(($C$7*C20),0)</f>
        <v>357</v>
      </c>
      <c r="F17" s="38"/>
      <c r="G17" s="701"/>
      <c r="H17" s="701"/>
      <c r="I17" s="701"/>
      <c r="J17" s="56"/>
    </row>
    <row r="18" spans="1:10" ht="15.75" thickBot="1" x14ac:dyDescent="0.25">
      <c r="B18" s="37" t="s">
        <v>1960</v>
      </c>
      <c r="C18" s="556">
        <f>IF(E20=1,E17/2000,E17/2205)</f>
        <v>0.17849999999999999</v>
      </c>
      <c r="D18" s="39" t="str">
        <f>IF(E20=1,"ton(s)","metric ton(s)")</f>
        <v>ton(s)</v>
      </c>
      <c r="G18" s="56"/>
      <c r="H18" s="56"/>
      <c r="I18" s="56"/>
      <c r="J18" s="56"/>
    </row>
    <row r="19" spans="1:10" x14ac:dyDescent="0.2">
      <c r="G19" s="56"/>
      <c r="H19" s="56"/>
      <c r="I19" s="56"/>
      <c r="J19" s="56"/>
    </row>
    <row r="20" spans="1:10" x14ac:dyDescent="0.2">
      <c r="A20" s="886" t="s">
        <v>1963</v>
      </c>
      <c r="B20" s="886"/>
      <c r="C20" s="40">
        <f>LOOKUP(D20,LUweight)</f>
        <v>0.30960648148148145</v>
      </c>
      <c r="D20" s="41">
        <v>2</v>
      </c>
      <c r="E20" s="35">
        <v>1</v>
      </c>
      <c r="G20" s="56"/>
      <c r="H20" s="56"/>
      <c r="I20" s="56"/>
      <c r="J20" s="56"/>
    </row>
    <row r="21" spans="1:10" x14ac:dyDescent="0.2">
      <c r="D21" s="56"/>
      <c r="E21" s="42"/>
      <c r="G21" s="56"/>
      <c r="H21" s="56"/>
      <c r="I21" s="56"/>
      <c r="J21" s="56"/>
    </row>
    <row r="22" spans="1:10" x14ac:dyDescent="0.2">
      <c r="G22" s="56"/>
      <c r="H22" s="56"/>
      <c r="I22" s="56"/>
      <c r="J22" s="56"/>
    </row>
    <row r="23" spans="1:10" x14ac:dyDescent="0.2">
      <c r="G23" s="56"/>
      <c r="H23" s="56"/>
      <c r="I23" s="56"/>
      <c r="J23" s="56"/>
    </row>
    <row r="25" spans="1:10" ht="13.5" thickBot="1" x14ac:dyDescent="0.25">
      <c r="A25" s="884" t="s">
        <v>2093</v>
      </c>
      <c r="B25" s="884"/>
    </row>
    <row r="26" spans="1:10" x14ac:dyDescent="0.2">
      <c r="B26" s="874"/>
      <c r="C26" s="875"/>
      <c r="D26" s="875"/>
      <c r="E26" s="875"/>
      <c r="F26" s="875"/>
      <c r="G26" s="875"/>
      <c r="H26" s="875"/>
      <c r="I26" s="876"/>
    </row>
    <row r="27" spans="1:10" x14ac:dyDescent="0.2">
      <c r="B27" s="877"/>
      <c r="C27" s="878"/>
      <c r="D27" s="878"/>
      <c r="E27" s="878"/>
      <c r="F27" s="878"/>
      <c r="G27" s="878"/>
      <c r="H27" s="878"/>
      <c r="I27" s="879"/>
    </row>
    <row r="28" spans="1:10" x14ac:dyDescent="0.2">
      <c r="B28" s="877"/>
      <c r="C28" s="878"/>
      <c r="D28" s="878"/>
      <c r="E28" s="878"/>
      <c r="F28" s="878"/>
      <c r="G28" s="878"/>
      <c r="H28" s="878"/>
      <c r="I28" s="879"/>
    </row>
    <row r="29" spans="1:10" x14ac:dyDescent="0.2">
      <c r="B29" s="877"/>
      <c r="C29" s="878"/>
      <c r="D29" s="878"/>
      <c r="E29" s="878"/>
      <c r="F29" s="878"/>
      <c r="G29" s="878"/>
      <c r="H29" s="878"/>
      <c r="I29" s="879"/>
    </row>
    <row r="30" spans="1:10" ht="13.5" thickBot="1" x14ac:dyDescent="0.25">
      <c r="B30" s="880"/>
      <c r="C30" s="881"/>
      <c r="D30" s="881"/>
      <c r="E30" s="881"/>
      <c r="F30" s="881"/>
      <c r="G30" s="881"/>
      <c r="H30" s="881"/>
      <c r="I30" s="882"/>
    </row>
  </sheetData>
  <sheetProtection password="D809" sheet="1" objects="1" scenarios="1" selectLockedCells="1"/>
  <mergeCells count="6">
    <mergeCell ref="B26:I30"/>
    <mergeCell ref="A20:B20"/>
    <mergeCell ref="A25:B25"/>
    <mergeCell ref="C9:E9"/>
    <mergeCell ref="C10:E10"/>
    <mergeCell ref="C11:E11"/>
  </mergeCells>
  <phoneticPr fontId="15" type="noConversion"/>
  <conditionalFormatting sqref="D17">
    <cfRule type="cellIs" dxfId="141" priority="1" stopIfTrue="1" operator="equal">
      <formula>"Kilograms"</formula>
    </cfRule>
  </conditionalFormatting>
  <conditionalFormatting sqref="D18">
    <cfRule type="cellIs" dxfId="140" priority="2" stopIfTrue="1" operator="equal">
      <formula>"metric ton(s)"</formula>
    </cfRule>
  </conditionalFormatting>
  <conditionalFormatting sqref="C2">
    <cfRule type="cellIs" dxfId="139" priority="3" stopIfTrue="1" operator="equal">
      <formula>"METER"</formula>
    </cfRule>
  </conditionalFormatting>
  <conditionalFormatting sqref="D2">
    <cfRule type="cellIs" dxfId="138" priority="4" stopIfTrue="1" operator="equal">
      <formula>"cm"</formula>
    </cfRule>
  </conditionalFormatting>
  <conditionalFormatting sqref="C3:D5">
    <cfRule type="expression" dxfId="137" priority="5" stopIfTrue="1">
      <formula>(MASTERSWITCH=1)</formula>
    </cfRule>
  </conditionalFormatting>
  <conditionalFormatting sqref="C9:E11">
    <cfRule type="expression" dxfId="136" priority="6" stopIfTrue="1">
      <formula>(MASTERSWITCH=1)</formula>
    </cfRule>
  </conditionalFormatting>
  <hyperlinks>
    <hyperlink ref="A20:B20" location="Weights!A1" display="  Material type ="/>
  </hyperlinks>
  <printOptions horizontalCentered="1"/>
  <pageMargins left="0.75" right="0.75" top="1.75" bottom="1.5" header="0.5" footer="0.5"/>
  <pageSetup scale="85" orientation="portrait" horizontalDpi="0" verticalDpi="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7889" r:id="rId5" name="Drop Down 1">
              <controlPr locked="0" defaultSize="0" autoFill="0" autoLine="0" autoPict="0">
                <anchor moveWithCells="1">
                  <from>
                    <xdr:col>2</xdr:col>
                    <xdr:colOff>57150</xdr:colOff>
                    <xdr:row>18</xdr:row>
                    <xdr:rowOff>123825</xdr:rowOff>
                  </from>
                  <to>
                    <xdr:col>5</xdr:col>
                    <xdr:colOff>285750</xdr:colOff>
                    <xdr:row>20</xdr:row>
                    <xdr:rowOff>19050</xdr:rowOff>
                  </to>
                </anchor>
              </controlPr>
            </control>
          </mc:Choice>
        </mc:AlternateContent>
        <mc:AlternateContent xmlns:mc="http://schemas.openxmlformats.org/markup-compatibility/2006">
          <mc:Choice Requires="x14">
            <control shapeId="37893" r:id="rId6" name="Option Button 5">
              <controlPr locked="0" defaultSize="0" autoFill="0" autoLine="0" autoPict="0">
                <anchor moveWithCells="1" sizeWithCells="1">
                  <from>
                    <xdr:col>4</xdr:col>
                    <xdr:colOff>247650</xdr:colOff>
                    <xdr:row>15</xdr:row>
                    <xdr:rowOff>114300</xdr:rowOff>
                  </from>
                  <to>
                    <xdr:col>5</xdr:col>
                    <xdr:colOff>514350</xdr:colOff>
                    <xdr:row>16</xdr:row>
                    <xdr:rowOff>161925</xdr:rowOff>
                  </to>
                </anchor>
              </controlPr>
            </control>
          </mc:Choice>
        </mc:AlternateContent>
        <mc:AlternateContent xmlns:mc="http://schemas.openxmlformats.org/markup-compatibility/2006">
          <mc:Choice Requires="x14">
            <control shapeId="37894" r:id="rId7" name="Option Button 6">
              <controlPr locked="0" defaultSize="0" autoFill="0" autoLine="0" autoPict="0">
                <anchor moveWithCells="1" sizeWithCells="1">
                  <from>
                    <xdr:col>4</xdr:col>
                    <xdr:colOff>238125</xdr:colOff>
                    <xdr:row>16</xdr:row>
                    <xdr:rowOff>123825</xdr:rowOff>
                  </from>
                  <to>
                    <xdr:col>5</xdr:col>
                    <xdr:colOff>400050</xdr:colOff>
                    <xdr:row>17</xdr:row>
                    <xdr:rowOff>142875</xdr:rowOff>
                  </to>
                </anchor>
              </controlPr>
            </control>
          </mc:Choice>
        </mc:AlternateContent>
        <mc:AlternateContent xmlns:mc="http://schemas.openxmlformats.org/markup-compatibility/2006">
          <mc:Choice Requires="x14">
            <control shapeId="37895" r:id="rId8" name="Group Box 7">
              <controlPr locked="0" defaultSize="0" autoFill="0" autoPict="0" altText="Display Units">
                <anchor moveWithCells="1" sizeWithCells="1">
                  <from>
                    <xdr:col>4</xdr:col>
                    <xdr:colOff>171450</xdr:colOff>
                    <xdr:row>15</xdr:row>
                    <xdr:rowOff>47625</xdr:rowOff>
                  </from>
                  <to>
                    <xdr:col>5</xdr:col>
                    <xdr:colOff>523875</xdr:colOff>
                    <xdr:row>17</xdr:row>
                    <xdr:rowOff>152400</xdr:rowOff>
                  </to>
                </anchor>
              </controlPr>
            </control>
          </mc:Choice>
        </mc:AlternateContent>
        <mc:AlternateContent xmlns:mc="http://schemas.openxmlformats.org/markup-compatibility/2006">
          <mc:Choice Requires="x14">
            <control shapeId="37900" r:id="rId9" name="Option Button 12">
              <controlPr defaultSize="0" autoFill="0" autoLine="0" autoPict="0">
                <anchor moveWithCells="1" sizeWithCells="1">
                  <from>
                    <xdr:col>4</xdr:col>
                    <xdr:colOff>142875</xdr:colOff>
                    <xdr:row>2</xdr:row>
                    <xdr:rowOff>0</xdr:rowOff>
                  </from>
                  <to>
                    <xdr:col>4</xdr:col>
                    <xdr:colOff>581025</xdr:colOff>
                    <xdr:row>3</xdr:row>
                    <xdr:rowOff>19050</xdr:rowOff>
                  </to>
                </anchor>
              </controlPr>
            </control>
          </mc:Choice>
        </mc:AlternateContent>
        <mc:AlternateContent xmlns:mc="http://schemas.openxmlformats.org/markup-compatibility/2006">
          <mc:Choice Requires="x14">
            <control shapeId="37901" r:id="rId10" name="Option Button 13">
              <controlPr defaultSize="0" autoFill="0" autoLine="0" autoPict="0">
                <anchor moveWithCells="1" sizeWithCells="1">
                  <from>
                    <xdr:col>4</xdr:col>
                    <xdr:colOff>561975</xdr:colOff>
                    <xdr:row>2</xdr:row>
                    <xdr:rowOff>0</xdr:rowOff>
                  </from>
                  <to>
                    <xdr:col>5</xdr:col>
                    <xdr:colOff>495300</xdr:colOff>
                    <xdr:row>3</xdr:row>
                    <xdr:rowOff>19050</xdr:rowOff>
                  </to>
                </anchor>
              </controlPr>
            </control>
          </mc:Choice>
        </mc:AlternateContent>
        <mc:AlternateContent xmlns:mc="http://schemas.openxmlformats.org/markup-compatibility/2006">
          <mc:Choice Requires="x14">
            <control shapeId="37902" r:id="rId11" name="Group Box 14">
              <controlPr defaultSize="0" autoFill="0" autoPict="0">
                <anchor moveWithCells="1" sizeWithCells="1">
                  <from>
                    <xdr:col>4</xdr:col>
                    <xdr:colOff>104775</xdr:colOff>
                    <xdr:row>1</xdr:row>
                    <xdr:rowOff>152400</xdr:rowOff>
                  </from>
                  <to>
                    <xdr:col>5</xdr:col>
                    <xdr:colOff>571500</xdr:colOff>
                    <xdr:row>3</xdr:row>
                    <xdr:rowOff>19050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R44"/>
  <sheetViews>
    <sheetView showRowColHeaders="0" workbookViewId="0">
      <selection activeCell="C4" sqref="C4"/>
    </sheetView>
  </sheetViews>
  <sheetFormatPr defaultRowHeight="12.75" x14ac:dyDescent="0.2"/>
  <cols>
    <col min="1" max="1" width="14.85546875" style="9" customWidth="1"/>
    <col min="2" max="2" width="9.140625" style="9"/>
    <col min="3" max="3" width="12.28515625" style="9" customWidth="1"/>
    <col min="4" max="4" width="11.42578125" style="9" customWidth="1"/>
    <col min="5" max="16384" width="9.140625" style="9"/>
  </cols>
  <sheetData>
    <row r="1" spans="1:18" x14ac:dyDescent="0.2">
      <c r="A1" s="23"/>
      <c r="B1" s="25"/>
      <c r="C1" s="25"/>
      <c r="D1" s="25"/>
      <c r="E1" s="25"/>
      <c r="F1" s="25"/>
      <c r="G1" s="25"/>
      <c r="H1" s="25"/>
      <c r="I1" s="25"/>
      <c r="J1" s="25"/>
      <c r="K1" s="25"/>
      <c r="L1" s="25"/>
      <c r="M1" s="25"/>
      <c r="N1" s="25"/>
      <c r="O1" s="25"/>
      <c r="P1" s="25"/>
      <c r="Q1" s="25"/>
      <c r="R1" s="25"/>
    </row>
    <row r="2" spans="1:18" x14ac:dyDescent="0.2">
      <c r="A2" s="26"/>
      <c r="B2" s="25"/>
      <c r="C2" s="25"/>
      <c r="D2" s="25"/>
      <c r="E2" s="25"/>
      <c r="F2" s="25"/>
      <c r="G2" s="25"/>
      <c r="H2" s="25"/>
      <c r="I2" s="25"/>
      <c r="J2" s="25"/>
      <c r="K2" s="25"/>
      <c r="L2" s="25"/>
      <c r="M2" s="25"/>
      <c r="N2" s="25"/>
      <c r="O2" s="25"/>
      <c r="P2" s="25"/>
      <c r="Q2" s="25"/>
      <c r="R2" s="25"/>
    </row>
    <row r="3" spans="1:18" ht="18.75" thickBot="1" x14ac:dyDescent="0.3">
      <c r="A3" s="25"/>
      <c r="B3" s="25"/>
      <c r="C3" s="546" t="s">
        <v>1996</v>
      </c>
      <c r="D3" s="546" t="s">
        <v>1997</v>
      </c>
      <c r="E3" s="25"/>
      <c r="F3" s="849" t="s">
        <v>1303</v>
      </c>
      <c r="G3" s="849"/>
      <c r="H3" s="849"/>
      <c r="I3" s="849"/>
      <c r="J3" s="849"/>
      <c r="K3" s="849"/>
      <c r="L3" s="25"/>
      <c r="M3" s="25"/>
      <c r="N3" s="25"/>
      <c r="O3" s="25"/>
      <c r="P3" s="25"/>
      <c r="Q3" s="25"/>
      <c r="R3" s="25"/>
    </row>
    <row r="4" spans="1:18" ht="16.5" thickBot="1" x14ac:dyDescent="0.3">
      <c r="A4" s="25"/>
      <c r="B4" s="57" t="s">
        <v>2061</v>
      </c>
      <c r="C4" s="368">
        <v>2</v>
      </c>
      <c r="D4" s="368">
        <v>4</v>
      </c>
      <c r="E4" s="25"/>
      <c r="F4" s="25"/>
      <c r="G4" s="25"/>
      <c r="H4" s="25"/>
      <c r="I4" s="25"/>
      <c r="J4" s="25"/>
      <c r="K4" s="25"/>
      <c r="L4" s="25"/>
      <c r="M4" s="25"/>
      <c r="N4" s="25"/>
      <c r="O4" s="25"/>
      <c r="P4" s="25"/>
      <c r="Q4" s="25"/>
      <c r="R4" s="25"/>
    </row>
    <row r="5" spans="1:18" ht="16.5" thickBot="1" x14ac:dyDescent="0.3">
      <c r="A5" s="25"/>
      <c r="B5" s="57" t="s">
        <v>2000</v>
      </c>
      <c r="C5" s="368">
        <v>1</v>
      </c>
      <c r="D5" s="368">
        <v>2</v>
      </c>
      <c r="E5" s="25"/>
      <c r="F5" s="25"/>
      <c r="G5" s="25"/>
      <c r="H5" s="25"/>
      <c r="I5" s="25"/>
      <c r="J5" s="25"/>
      <c r="K5" s="25"/>
      <c r="L5" s="25"/>
      <c r="M5" s="25"/>
      <c r="N5" s="25"/>
      <c r="O5" s="25"/>
      <c r="P5" s="25"/>
      <c r="Q5" s="25"/>
      <c r="R5" s="25"/>
    </row>
    <row r="6" spans="1:18" ht="15.75" x14ac:dyDescent="0.25">
      <c r="A6" s="25"/>
      <c r="B6" s="57"/>
      <c r="C6" s="57"/>
      <c r="D6" s="25"/>
      <c r="E6" s="25"/>
      <c r="F6" s="25" t="s">
        <v>2062</v>
      </c>
      <c r="G6" s="25">
        <f>C4*12+D4</f>
        <v>28</v>
      </c>
      <c r="H6" s="25"/>
      <c r="I6" s="25"/>
      <c r="J6" s="25"/>
      <c r="K6" s="25"/>
      <c r="L6" s="25"/>
      <c r="M6" s="25"/>
      <c r="N6" s="25"/>
      <c r="O6" s="25"/>
      <c r="P6" s="25"/>
      <c r="Q6" s="25"/>
      <c r="R6" s="25"/>
    </row>
    <row r="7" spans="1:18" ht="13.5" thickBot="1" x14ac:dyDescent="0.25">
      <c r="A7" s="25"/>
      <c r="B7" s="25"/>
      <c r="C7" s="29"/>
      <c r="D7" s="25"/>
      <c r="E7" s="25"/>
      <c r="F7" s="25" t="s">
        <v>2063</v>
      </c>
      <c r="G7" s="25">
        <f>C5*12+D5</f>
        <v>14</v>
      </c>
      <c r="H7" s="25"/>
      <c r="I7" s="25"/>
      <c r="J7" s="25"/>
      <c r="K7" s="25"/>
      <c r="L7" s="25"/>
      <c r="M7" s="25"/>
      <c r="N7" s="25"/>
      <c r="O7" s="25"/>
      <c r="P7" s="25"/>
      <c r="Q7" s="25"/>
      <c r="R7" s="25"/>
    </row>
    <row r="8" spans="1:18" ht="16.5" thickBot="1" x14ac:dyDescent="0.3">
      <c r="A8" s="25"/>
      <c r="B8" s="547" t="s">
        <v>1958</v>
      </c>
      <c r="C8" s="550">
        <f>0.7854*G7*G7*G6</f>
        <v>4310.2752</v>
      </c>
      <c r="D8" s="444" t="s">
        <v>1959</v>
      </c>
      <c r="E8" s="25"/>
      <c r="F8" s="25" t="s">
        <v>1976</v>
      </c>
      <c r="G8" s="25">
        <v>0.32369999999999999</v>
      </c>
      <c r="H8" s="25"/>
      <c r="I8" s="25"/>
      <c r="J8" s="25"/>
      <c r="K8" s="25"/>
      <c r="L8" s="25"/>
      <c r="M8" s="25"/>
      <c r="N8" s="25"/>
      <c r="O8" s="25"/>
      <c r="P8" s="25"/>
      <c r="Q8" s="25"/>
      <c r="R8" s="25"/>
    </row>
    <row r="9" spans="1:18" x14ac:dyDescent="0.2">
      <c r="A9" s="25"/>
      <c r="B9" s="25"/>
      <c r="C9" s="25"/>
      <c r="D9" s="25"/>
      <c r="E9" s="25"/>
      <c r="F9" s="25"/>
      <c r="G9" s="25"/>
      <c r="H9" s="25"/>
      <c r="I9" s="25"/>
      <c r="J9" s="25"/>
      <c r="K9" s="25"/>
      <c r="L9" s="25"/>
      <c r="M9" s="25"/>
      <c r="N9" s="25"/>
      <c r="O9" s="25"/>
      <c r="P9" s="25"/>
      <c r="Q9" s="25"/>
      <c r="R9" s="25"/>
    </row>
    <row r="10" spans="1:18" ht="13.5" thickBot="1" x14ac:dyDescent="0.25">
      <c r="A10" s="549" t="s">
        <v>1304</v>
      </c>
      <c r="B10" s="25"/>
      <c r="C10" s="25"/>
      <c r="D10" s="32"/>
      <c r="E10" s="25"/>
      <c r="F10" s="25"/>
      <c r="G10" s="25"/>
      <c r="H10" s="25"/>
      <c r="I10" s="25"/>
      <c r="J10" s="25"/>
      <c r="K10" s="25"/>
      <c r="L10" s="25"/>
      <c r="M10" s="25"/>
      <c r="N10" s="25"/>
      <c r="O10" s="25"/>
      <c r="P10" s="25"/>
      <c r="Q10" s="25"/>
      <c r="R10" s="25"/>
    </row>
    <row r="11" spans="1:18" ht="16.5" thickBot="1" x14ac:dyDescent="0.25">
      <c r="B11" s="548" t="s">
        <v>1960</v>
      </c>
      <c r="C11" s="551">
        <f>ROUNDUP(($C$8*$G$8),0)</f>
        <v>1396</v>
      </c>
      <c r="D11" s="33" t="s">
        <v>1961</v>
      </c>
      <c r="E11" s="25"/>
      <c r="F11" s="25"/>
      <c r="G11" s="25"/>
      <c r="H11" s="25"/>
      <c r="I11" s="25"/>
      <c r="J11" s="25"/>
      <c r="K11" s="25"/>
      <c r="L11" s="25"/>
      <c r="M11" s="25"/>
      <c r="N11" s="25"/>
      <c r="O11" s="25"/>
      <c r="P11" s="25"/>
      <c r="Q11" s="25"/>
      <c r="R11" s="25"/>
    </row>
    <row r="12" spans="1:18" ht="13.5" thickBot="1" x14ac:dyDescent="0.25">
      <c r="A12" s="25"/>
      <c r="B12" s="25"/>
      <c r="C12" s="25"/>
      <c r="D12" s="25"/>
      <c r="E12" s="25"/>
      <c r="F12" s="25"/>
      <c r="G12" s="25"/>
      <c r="H12" s="25"/>
      <c r="I12" s="25"/>
      <c r="J12" s="25"/>
      <c r="K12" s="25"/>
      <c r="L12" s="25"/>
      <c r="M12" s="25"/>
      <c r="N12" s="25"/>
      <c r="O12" s="25"/>
      <c r="P12" s="25"/>
      <c r="Q12" s="25"/>
      <c r="R12" s="25"/>
    </row>
    <row r="13" spans="1:18" ht="16.5" thickBot="1" x14ac:dyDescent="0.3">
      <c r="A13" s="25"/>
      <c r="B13" s="548" t="s">
        <v>1960</v>
      </c>
      <c r="C13" s="550">
        <f>C11/2000</f>
        <v>0.69799999999999995</v>
      </c>
      <c r="D13" s="33" t="s">
        <v>1962</v>
      </c>
      <c r="E13" s="25"/>
      <c r="F13" s="25"/>
      <c r="G13" s="25"/>
      <c r="H13" s="25"/>
      <c r="I13" s="25"/>
      <c r="J13" s="25"/>
      <c r="K13" s="25"/>
      <c r="L13" s="25"/>
      <c r="M13" s="25"/>
      <c r="N13" s="25"/>
      <c r="O13" s="25"/>
      <c r="P13" s="25"/>
      <c r="Q13" s="25"/>
      <c r="R13" s="25"/>
    </row>
    <row r="14" spans="1:18" x14ac:dyDescent="0.2">
      <c r="A14" s="25"/>
      <c r="B14" s="25"/>
      <c r="C14" s="25"/>
      <c r="D14" s="25"/>
      <c r="E14" s="25"/>
      <c r="F14" s="25"/>
      <c r="G14" s="25"/>
      <c r="H14" s="25"/>
      <c r="I14" s="25"/>
      <c r="J14" s="25"/>
      <c r="K14" s="25"/>
      <c r="L14" s="25"/>
      <c r="M14" s="25"/>
      <c r="N14" s="25"/>
      <c r="O14" s="25"/>
      <c r="P14" s="25"/>
      <c r="Q14" s="25"/>
      <c r="R14" s="25"/>
    </row>
    <row r="15" spans="1:18" x14ac:dyDescent="0.2">
      <c r="A15" s="25"/>
      <c r="B15" s="885" t="str">
        <f>IF(MASTERSWITCH=1,"EVALUATION PERIOD EXPIRED!","")</f>
        <v/>
      </c>
      <c r="C15" s="885"/>
      <c r="D15" s="885"/>
      <c r="E15" s="25"/>
      <c r="F15" s="25"/>
      <c r="G15" s="25"/>
      <c r="H15" s="25"/>
      <c r="I15" s="25"/>
      <c r="J15" s="25"/>
      <c r="K15" s="25"/>
      <c r="L15" s="25"/>
      <c r="M15" s="25"/>
      <c r="N15" s="25"/>
      <c r="O15" s="25"/>
      <c r="P15" s="25"/>
      <c r="Q15" s="25"/>
      <c r="R15" s="25"/>
    </row>
    <row r="16" spans="1:18" x14ac:dyDescent="0.2">
      <c r="A16" s="25"/>
      <c r="B16" s="885" t="str">
        <f>IF(MASTERSWITCH=1,"PLEASE PURCHASE LICENSE TO","")</f>
        <v/>
      </c>
      <c r="C16" s="885"/>
      <c r="D16" s="885"/>
      <c r="E16" s="25"/>
      <c r="F16" s="25"/>
      <c r="G16" s="25"/>
      <c r="H16" s="25"/>
      <c r="I16" s="25"/>
      <c r="J16" s="25"/>
      <c r="K16" s="25"/>
      <c r="L16" s="25"/>
      <c r="M16" s="25"/>
      <c r="N16" s="25"/>
      <c r="O16" s="25"/>
      <c r="P16" s="25"/>
      <c r="Q16" s="25"/>
      <c r="R16" s="25"/>
    </row>
    <row r="17" spans="1:18" x14ac:dyDescent="0.2">
      <c r="A17" s="25"/>
      <c r="B17" s="885" t="str">
        <f>IF(MASTERSWITCH=1,"CONTINUE USING THIS PROGRAM","")</f>
        <v/>
      </c>
      <c r="C17" s="885"/>
      <c r="D17" s="885"/>
      <c r="E17" s="25"/>
      <c r="F17" s="25"/>
      <c r="G17" s="25"/>
      <c r="H17" s="25"/>
      <c r="I17" s="25"/>
      <c r="J17" s="25"/>
      <c r="K17" s="25"/>
      <c r="L17" s="25"/>
      <c r="M17" s="25"/>
      <c r="N17" s="25"/>
      <c r="O17" s="25"/>
      <c r="P17" s="25"/>
      <c r="Q17" s="25"/>
      <c r="R17" s="25"/>
    </row>
    <row r="18" spans="1:18" x14ac:dyDescent="0.2">
      <c r="A18" s="25"/>
      <c r="B18" s="25"/>
      <c r="C18" s="25"/>
      <c r="D18" s="25"/>
      <c r="E18" s="25"/>
      <c r="F18" s="25"/>
      <c r="G18" s="25"/>
      <c r="H18" s="25"/>
      <c r="I18" s="25"/>
      <c r="J18" s="25"/>
      <c r="K18" s="25"/>
      <c r="L18" s="25"/>
      <c r="M18" s="25"/>
      <c r="N18" s="25"/>
      <c r="O18" s="25"/>
      <c r="P18" s="25"/>
      <c r="Q18" s="25"/>
      <c r="R18" s="25"/>
    </row>
    <row r="19" spans="1:18" x14ac:dyDescent="0.2">
      <c r="A19" s="25"/>
      <c r="B19" s="25"/>
      <c r="C19" s="25"/>
      <c r="D19" s="25"/>
      <c r="E19" s="25"/>
      <c r="F19" s="25"/>
      <c r="G19" s="25"/>
      <c r="H19" s="25"/>
      <c r="I19" s="25"/>
      <c r="J19" s="25"/>
      <c r="K19" s="25"/>
      <c r="L19" s="25"/>
      <c r="M19" s="25"/>
      <c r="N19" s="25"/>
      <c r="O19" s="25"/>
      <c r="P19" s="25"/>
      <c r="Q19" s="25"/>
      <c r="R19" s="25"/>
    </row>
    <row r="20" spans="1:18" x14ac:dyDescent="0.2">
      <c r="A20" s="25"/>
      <c r="B20" s="25"/>
      <c r="C20" s="25"/>
      <c r="D20" s="25"/>
      <c r="E20" s="25"/>
      <c r="F20" s="25"/>
      <c r="G20" s="25"/>
      <c r="H20" s="25"/>
      <c r="I20" s="25"/>
      <c r="J20" s="25"/>
      <c r="K20" s="25"/>
      <c r="L20" s="25"/>
      <c r="M20" s="25"/>
      <c r="N20" s="25"/>
      <c r="O20" s="25"/>
      <c r="P20" s="25"/>
      <c r="Q20" s="25"/>
      <c r="R20" s="25"/>
    </row>
    <row r="21" spans="1:18" x14ac:dyDescent="0.2">
      <c r="A21" s="25"/>
      <c r="B21" s="25"/>
      <c r="C21" s="25"/>
      <c r="D21" s="25"/>
      <c r="E21" s="25"/>
      <c r="F21" s="25"/>
      <c r="G21" s="25"/>
      <c r="H21" s="25"/>
      <c r="I21" s="25"/>
      <c r="J21" s="25"/>
      <c r="K21" s="25"/>
      <c r="L21" s="25"/>
      <c r="M21" s="25"/>
      <c r="N21" s="25"/>
      <c r="O21" s="25"/>
      <c r="P21" s="25"/>
      <c r="Q21" s="25"/>
      <c r="R21" s="25"/>
    </row>
    <row r="22" spans="1:18" x14ac:dyDescent="0.2">
      <c r="A22" s="25"/>
      <c r="B22" s="25"/>
      <c r="C22" s="25"/>
      <c r="D22" s="25"/>
      <c r="E22" s="25"/>
      <c r="F22" s="25"/>
      <c r="G22" s="25"/>
      <c r="H22" s="25"/>
      <c r="I22" s="25"/>
      <c r="J22" s="25"/>
      <c r="K22" s="25"/>
      <c r="L22" s="25"/>
      <c r="M22" s="25"/>
      <c r="N22" s="25"/>
      <c r="O22" s="25"/>
      <c r="P22" s="25"/>
      <c r="Q22" s="25"/>
      <c r="R22" s="25"/>
    </row>
    <row r="23" spans="1:18" x14ac:dyDescent="0.2">
      <c r="A23" s="25"/>
      <c r="B23" s="25"/>
      <c r="C23" s="25"/>
      <c r="D23" s="25"/>
      <c r="E23" s="25"/>
      <c r="F23" s="25"/>
      <c r="G23" s="25"/>
      <c r="H23" s="25"/>
      <c r="I23" s="25"/>
      <c r="J23" s="25"/>
      <c r="K23" s="25"/>
      <c r="L23" s="25"/>
      <c r="M23" s="25"/>
      <c r="N23" s="25"/>
      <c r="O23" s="25"/>
      <c r="P23" s="25"/>
      <c r="Q23" s="25"/>
      <c r="R23" s="25"/>
    </row>
    <row r="24" spans="1:18" x14ac:dyDescent="0.2">
      <c r="A24" s="25"/>
      <c r="B24" s="25"/>
      <c r="C24" s="25"/>
      <c r="D24" s="25"/>
      <c r="E24" s="25"/>
      <c r="F24" s="25"/>
      <c r="G24" s="25"/>
      <c r="H24" s="25"/>
      <c r="I24" s="25"/>
      <c r="J24" s="25"/>
      <c r="K24" s="25"/>
      <c r="L24" s="25"/>
      <c r="M24" s="25"/>
      <c r="N24" s="25"/>
      <c r="O24" s="25"/>
      <c r="P24" s="25"/>
      <c r="Q24" s="25"/>
      <c r="R24" s="25"/>
    </row>
    <row r="25" spans="1:18" x14ac:dyDescent="0.2">
      <c r="A25" s="25"/>
      <c r="B25" s="25"/>
      <c r="C25" s="25"/>
      <c r="D25" s="25"/>
      <c r="E25" s="25"/>
      <c r="F25" s="25"/>
      <c r="G25" s="25"/>
      <c r="H25" s="25"/>
      <c r="I25" s="25"/>
      <c r="J25" s="25"/>
      <c r="K25" s="25"/>
      <c r="L25" s="25"/>
      <c r="M25" s="25"/>
      <c r="N25" s="25"/>
      <c r="O25" s="25"/>
      <c r="P25" s="25"/>
      <c r="Q25" s="25"/>
      <c r="R25" s="25"/>
    </row>
    <row r="26" spans="1:18" x14ac:dyDescent="0.2">
      <c r="A26" s="25"/>
      <c r="B26" s="25"/>
      <c r="C26" s="25"/>
      <c r="D26" s="25"/>
      <c r="E26" s="25"/>
      <c r="F26" s="25"/>
      <c r="G26" s="25"/>
      <c r="H26" s="25"/>
      <c r="I26" s="25"/>
      <c r="J26" s="25"/>
      <c r="K26" s="25"/>
      <c r="L26" s="25"/>
      <c r="M26" s="25"/>
      <c r="N26" s="25"/>
      <c r="O26" s="25"/>
      <c r="P26" s="25"/>
      <c r="Q26" s="25"/>
      <c r="R26" s="25"/>
    </row>
    <row r="27" spans="1:18" x14ac:dyDescent="0.2">
      <c r="A27" s="25"/>
      <c r="B27" s="25"/>
      <c r="C27" s="25"/>
      <c r="D27" s="25"/>
      <c r="E27" s="25"/>
      <c r="F27" s="25"/>
      <c r="G27" s="25"/>
      <c r="H27" s="25"/>
      <c r="I27" s="25"/>
      <c r="J27" s="25"/>
      <c r="K27" s="25"/>
      <c r="L27" s="25"/>
      <c r="M27" s="25"/>
      <c r="N27" s="25"/>
      <c r="O27" s="25"/>
      <c r="P27" s="25"/>
      <c r="Q27" s="25"/>
      <c r="R27" s="25"/>
    </row>
    <row r="28" spans="1:18" x14ac:dyDescent="0.2">
      <c r="A28" s="25"/>
      <c r="B28" s="25"/>
      <c r="C28" s="25"/>
      <c r="D28" s="25"/>
      <c r="E28" s="25"/>
      <c r="F28" s="25"/>
      <c r="G28" s="25"/>
      <c r="H28" s="25"/>
      <c r="I28" s="25"/>
      <c r="J28" s="25"/>
      <c r="K28" s="25"/>
      <c r="L28" s="25"/>
      <c r="M28" s="25"/>
      <c r="N28" s="25"/>
      <c r="O28" s="25"/>
      <c r="P28" s="25"/>
      <c r="Q28" s="25"/>
      <c r="R28" s="25"/>
    </row>
    <row r="29" spans="1:18" x14ac:dyDescent="0.2">
      <c r="A29" s="25"/>
      <c r="B29" s="25"/>
      <c r="C29" s="25"/>
      <c r="D29" s="25"/>
      <c r="E29" s="25"/>
      <c r="F29" s="25"/>
      <c r="G29" s="25"/>
      <c r="H29" s="25"/>
      <c r="I29" s="25"/>
      <c r="J29" s="25"/>
      <c r="K29" s="25"/>
      <c r="L29" s="25"/>
      <c r="M29" s="25"/>
      <c r="N29" s="25"/>
      <c r="O29" s="25"/>
      <c r="P29" s="25"/>
      <c r="Q29" s="25"/>
      <c r="R29" s="25"/>
    </row>
    <row r="30" spans="1:18" x14ac:dyDescent="0.2">
      <c r="A30" s="25"/>
      <c r="B30" s="25"/>
      <c r="C30" s="25"/>
      <c r="D30" s="25"/>
      <c r="E30" s="25"/>
      <c r="F30" s="25"/>
      <c r="G30" s="25"/>
      <c r="H30" s="25"/>
      <c r="I30" s="25"/>
      <c r="J30" s="25"/>
      <c r="K30" s="25"/>
      <c r="L30" s="25"/>
      <c r="M30" s="25"/>
      <c r="N30" s="25"/>
      <c r="O30" s="25"/>
      <c r="P30" s="25"/>
      <c r="Q30" s="25"/>
      <c r="R30" s="25"/>
    </row>
    <row r="31" spans="1:18" x14ac:dyDescent="0.2">
      <c r="A31" s="25"/>
      <c r="B31" s="25"/>
      <c r="C31" s="25"/>
      <c r="D31" s="25"/>
      <c r="E31" s="25"/>
      <c r="F31" s="25"/>
      <c r="G31" s="25"/>
      <c r="H31" s="25"/>
      <c r="I31" s="25"/>
      <c r="J31" s="25"/>
      <c r="K31" s="25"/>
      <c r="L31" s="25"/>
      <c r="M31" s="25"/>
      <c r="N31" s="25"/>
      <c r="O31" s="25"/>
      <c r="P31" s="25"/>
      <c r="Q31" s="25"/>
      <c r="R31" s="25"/>
    </row>
    <row r="32" spans="1:18" x14ac:dyDescent="0.2">
      <c r="A32" s="25"/>
      <c r="B32" s="25"/>
      <c r="C32" s="25"/>
      <c r="D32" s="25"/>
      <c r="E32" s="25"/>
      <c r="F32" s="25"/>
      <c r="G32" s="25"/>
      <c r="H32" s="25"/>
      <c r="I32" s="25"/>
      <c r="J32" s="25"/>
      <c r="K32" s="25"/>
      <c r="L32" s="25"/>
      <c r="M32" s="25"/>
      <c r="N32" s="25"/>
      <c r="O32" s="25"/>
      <c r="P32" s="25"/>
      <c r="Q32" s="25"/>
      <c r="R32" s="25"/>
    </row>
    <row r="33" spans="1:18" x14ac:dyDescent="0.2">
      <c r="A33" s="25"/>
      <c r="B33" s="25"/>
      <c r="C33" s="25"/>
      <c r="D33" s="25"/>
      <c r="E33" s="25"/>
      <c r="F33" s="25"/>
      <c r="G33" s="25"/>
      <c r="H33" s="25"/>
      <c r="I33" s="25"/>
      <c r="J33" s="25"/>
      <c r="K33" s="25"/>
      <c r="L33" s="25"/>
      <c r="M33" s="25"/>
      <c r="N33" s="25"/>
      <c r="O33" s="25"/>
      <c r="P33" s="25"/>
      <c r="Q33" s="25"/>
      <c r="R33" s="25"/>
    </row>
    <row r="34" spans="1:18" x14ac:dyDescent="0.2">
      <c r="A34" s="25"/>
      <c r="B34" s="25"/>
      <c r="C34" s="25"/>
      <c r="D34" s="25"/>
      <c r="E34" s="25"/>
      <c r="F34" s="25"/>
      <c r="G34" s="25"/>
      <c r="H34" s="25"/>
      <c r="I34" s="25"/>
      <c r="J34" s="25"/>
      <c r="K34" s="25"/>
      <c r="L34" s="25"/>
      <c r="M34" s="25"/>
      <c r="N34" s="25"/>
      <c r="O34" s="25"/>
      <c r="P34" s="25"/>
      <c r="Q34" s="25"/>
      <c r="R34" s="25"/>
    </row>
    <row r="35" spans="1:18" x14ac:dyDescent="0.2">
      <c r="A35" s="25"/>
      <c r="B35" s="25"/>
      <c r="C35" s="25"/>
      <c r="D35" s="25"/>
      <c r="E35" s="25"/>
      <c r="F35" s="25"/>
      <c r="G35" s="25"/>
      <c r="H35" s="25"/>
      <c r="I35" s="25"/>
      <c r="J35" s="25"/>
      <c r="K35" s="25"/>
      <c r="L35" s="25"/>
      <c r="M35" s="25"/>
      <c r="N35" s="25"/>
      <c r="O35" s="25"/>
      <c r="P35" s="25"/>
      <c r="Q35" s="25"/>
      <c r="R35" s="25"/>
    </row>
    <row r="36" spans="1:18" x14ac:dyDescent="0.2">
      <c r="A36" s="25"/>
      <c r="B36" s="25"/>
      <c r="C36" s="25"/>
      <c r="D36" s="25"/>
      <c r="E36" s="25"/>
      <c r="F36" s="25"/>
      <c r="G36" s="25"/>
      <c r="H36" s="25"/>
      <c r="I36" s="25"/>
      <c r="J36" s="25"/>
      <c r="K36" s="25"/>
      <c r="L36" s="25"/>
      <c r="M36" s="25"/>
      <c r="N36" s="25"/>
      <c r="O36" s="25"/>
      <c r="P36" s="25"/>
      <c r="Q36" s="25"/>
      <c r="R36" s="25"/>
    </row>
    <row r="37" spans="1:18" x14ac:dyDescent="0.2">
      <c r="A37" s="25"/>
      <c r="B37" s="25"/>
      <c r="C37" s="25"/>
      <c r="D37" s="25"/>
      <c r="E37" s="25"/>
      <c r="F37" s="25"/>
      <c r="G37" s="25"/>
      <c r="H37" s="25"/>
      <c r="I37" s="25"/>
      <c r="J37" s="25"/>
      <c r="K37" s="25"/>
      <c r="L37" s="25"/>
      <c r="M37" s="25"/>
      <c r="N37" s="25"/>
      <c r="O37" s="25"/>
      <c r="P37" s="25"/>
      <c r="Q37" s="25"/>
      <c r="R37" s="25"/>
    </row>
    <row r="38" spans="1:18" x14ac:dyDescent="0.2">
      <c r="A38" s="25"/>
      <c r="B38" s="25"/>
      <c r="C38" s="25"/>
      <c r="D38" s="25"/>
      <c r="E38" s="25"/>
      <c r="F38" s="25"/>
      <c r="G38" s="25"/>
      <c r="H38" s="25"/>
      <c r="I38" s="25"/>
      <c r="J38" s="25"/>
      <c r="K38" s="25"/>
      <c r="L38" s="25"/>
      <c r="M38" s="25"/>
      <c r="N38" s="25"/>
      <c r="O38" s="25"/>
      <c r="P38" s="25"/>
      <c r="Q38" s="25"/>
      <c r="R38" s="25"/>
    </row>
    <row r="39" spans="1:18" x14ac:dyDescent="0.2">
      <c r="A39" s="25"/>
      <c r="B39" s="25"/>
      <c r="C39" s="25"/>
      <c r="D39" s="25"/>
      <c r="E39" s="25"/>
      <c r="F39" s="25"/>
      <c r="G39" s="25"/>
      <c r="H39" s="25"/>
      <c r="I39" s="25"/>
      <c r="J39" s="25"/>
      <c r="K39" s="25"/>
      <c r="L39" s="25"/>
      <c r="M39" s="25"/>
      <c r="N39" s="25"/>
      <c r="O39" s="25"/>
      <c r="P39" s="25"/>
      <c r="Q39" s="25"/>
      <c r="R39" s="25"/>
    </row>
    <row r="40" spans="1:18" x14ac:dyDescent="0.2">
      <c r="A40" s="25"/>
      <c r="B40" s="25"/>
      <c r="C40" s="25"/>
      <c r="D40" s="25"/>
      <c r="E40" s="25"/>
      <c r="F40" s="25"/>
      <c r="G40" s="25"/>
      <c r="H40" s="25"/>
      <c r="I40" s="25"/>
      <c r="J40" s="25"/>
      <c r="K40" s="25"/>
      <c r="L40" s="25"/>
      <c r="M40" s="25"/>
      <c r="N40" s="25"/>
      <c r="O40" s="25"/>
      <c r="P40" s="25"/>
      <c r="Q40" s="25"/>
      <c r="R40" s="25"/>
    </row>
    <row r="41" spans="1:18" x14ac:dyDescent="0.2">
      <c r="A41" s="25"/>
      <c r="B41" s="25"/>
      <c r="C41" s="25"/>
      <c r="D41" s="25"/>
      <c r="E41" s="25"/>
      <c r="F41" s="25"/>
      <c r="G41" s="25"/>
      <c r="H41" s="25"/>
      <c r="I41" s="25"/>
      <c r="J41" s="25"/>
      <c r="K41" s="25"/>
      <c r="L41" s="25"/>
      <c r="M41" s="25"/>
      <c r="N41" s="25"/>
      <c r="O41" s="25"/>
      <c r="P41" s="25"/>
      <c r="Q41" s="25"/>
      <c r="R41" s="25"/>
    </row>
    <row r="42" spans="1:18" x14ac:dyDescent="0.2">
      <c r="A42" s="25"/>
      <c r="B42" s="25"/>
      <c r="C42" s="25"/>
      <c r="D42" s="25"/>
      <c r="E42" s="25"/>
      <c r="F42" s="25"/>
      <c r="G42" s="25"/>
      <c r="H42" s="25"/>
      <c r="I42" s="25"/>
      <c r="J42" s="25"/>
      <c r="K42" s="25"/>
      <c r="L42" s="25"/>
      <c r="M42" s="25"/>
      <c r="N42" s="25"/>
      <c r="O42" s="25"/>
      <c r="P42" s="25"/>
      <c r="Q42" s="25"/>
      <c r="R42" s="25"/>
    </row>
    <row r="43" spans="1:18" x14ac:dyDescent="0.2">
      <c r="A43" s="25"/>
      <c r="B43" s="25"/>
      <c r="C43" s="25"/>
      <c r="D43" s="25"/>
      <c r="E43" s="25"/>
      <c r="F43" s="25"/>
      <c r="G43" s="25"/>
      <c r="H43" s="25"/>
      <c r="I43" s="25"/>
      <c r="J43" s="25"/>
      <c r="K43" s="25"/>
      <c r="L43" s="25"/>
      <c r="M43" s="25"/>
      <c r="N43" s="25"/>
      <c r="O43" s="25"/>
      <c r="P43" s="25"/>
      <c r="Q43" s="25"/>
      <c r="R43" s="25"/>
    </row>
    <row r="44" spans="1:18" x14ac:dyDescent="0.2">
      <c r="A44" s="25"/>
      <c r="B44" s="25"/>
      <c r="C44" s="25"/>
      <c r="D44" s="25"/>
      <c r="E44" s="25"/>
      <c r="F44" s="25"/>
      <c r="G44" s="25"/>
      <c r="H44" s="25"/>
      <c r="I44" s="25"/>
      <c r="J44" s="25"/>
      <c r="K44" s="25"/>
      <c r="L44" s="25"/>
      <c r="M44" s="25"/>
      <c r="N44" s="25"/>
      <c r="O44" s="25"/>
      <c r="P44" s="25"/>
      <c r="Q44" s="25"/>
      <c r="R44" s="25"/>
    </row>
  </sheetData>
  <sheetProtection password="D809" sheet="1" objects="1" scenarios="1" selectLockedCells="1"/>
  <mergeCells count="4">
    <mergeCell ref="F3:K3"/>
    <mergeCell ref="B15:D15"/>
    <mergeCell ref="B16:D16"/>
    <mergeCell ref="B17:D17"/>
  </mergeCells>
  <phoneticPr fontId="15" type="noConversion"/>
  <conditionalFormatting sqref="C4:D5">
    <cfRule type="expression" dxfId="135" priority="1" stopIfTrue="1">
      <formula>(MASTERSWITCH=1)</formula>
    </cfRule>
  </conditionalFormatting>
  <conditionalFormatting sqref="B15:D17">
    <cfRule type="expression" dxfId="134" priority="2" stopIfTrue="1">
      <formula>(MASTERSWITCH=1)</formula>
    </cfRule>
  </conditionalFormatting>
  <printOptions horizontalCentered="1"/>
  <pageMargins left="0.75" right="0.75" top="1.75" bottom="1.5" header="0.5" footer="0.5"/>
  <pageSetup scale="76" orientation="portrait" horizontalDpi="0" verticalDpi="0" r:id="rId1"/>
  <headerFooter alignWithMargins="0">
    <oddHeader>&amp;L&amp;G&amp;R&amp;G</oddHeader>
    <oddFooter>&amp;L&amp;G&amp;R&amp;D  &amp;T</oddFooter>
  </headerFooter>
  <drawing r:id="rId2"/>
  <legacyDrawing r:id="rId3"/>
  <legacyDrawingHF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fitToPage="1"/>
  </sheetPr>
  <dimension ref="A1:K30"/>
  <sheetViews>
    <sheetView showRowColHeaders="0" workbookViewId="0">
      <selection activeCell="D6" sqref="D6"/>
    </sheetView>
  </sheetViews>
  <sheetFormatPr defaultRowHeight="12.75" x14ac:dyDescent="0.2"/>
  <cols>
    <col min="1" max="1" width="3.42578125" style="25" customWidth="1"/>
    <col min="2" max="2" width="12.5703125" style="25" customWidth="1"/>
    <col min="3" max="3" width="10" style="25" customWidth="1"/>
    <col min="4" max="4" width="9.140625" style="25"/>
    <col min="5" max="5" width="10.85546875" style="25" customWidth="1"/>
    <col min="6" max="6" width="12.28515625" style="25" customWidth="1"/>
    <col min="7" max="7" width="6.28515625" style="25" customWidth="1"/>
    <col min="8" max="8" width="9.140625" style="25"/>
    <col min="9" max="9" width="6" style="25" customWidth="1"/>
    <col min="10" max="10" width="12.7109375" style="25" customWidth="1"/>
    <col min="11" max="11" width="5.5703125" style="25" customWidth="1"/>
    <col min="12" max="16384" width="9.140625" style="25"/>
  </cols>
  <sheetData>
    <row r="1" spans="1:11" x14ac:dyDescent="0.2">
      <c r="A1" s="23"/>
      <c r="C1" s="887" t="str">
        <f>IF(MASTERSWITCH=1,"EVALUATION PERIOD EXPIRED!","")</f>
        <v/>
      </c>
      <c r="D1" s="887"/>
      <c r="E1" s="887"/>
    </row>
    <row r="2" spans="1:11" x14ac:dyDescent="0.2">
      <c r="A2" s="26"/>
      <c r="C2" s="887" t="str">
        <f>IF(MASTERSWITCH=1,"PLEASE PURCHASE LICENSE TO","")</f>
        <v/>
      </c>
      <c r="D2" s="887"/>
      <c r="E2" s="887"/>
      <c r="H2" s="216"/>
    </row>
    <row r="3" spans="1:11" ht="14.25" customHeight="1" x14ac:dyDescent="0.2">
      <c r="C3" s="887" t="str">
        <f>IF(MASTERSWITCH=1,"CONTINUE USING THIS PROGRAM","")</f>
        <v/>
      </c>
      <c r="D3" s="887"/>
      <c r="E3" s="887"/>
    </row>
    <row r="4" spans="1:11" ht="18" x14ac:dyDescent="0.25">
      <c r="F4" s="849" t="s">
        <v>2084</v>
      </c>
      <c r="G4" s="849"/>
      <c r="H4" s="849"/>
      <c r="I4" s="849"/>
    </row>
    <row r="5" spans="1:11" ht="15.75" x14ac:dyDescent="0.25">
      <c r="D5" s="443"/>
    </row>
    <row r="6" spans="1:11" ht="15.75" x14ac:dyDescent="0.25">
      <c r="C6" s="57" t="s">
        <v>2025</v>
      </c>
      <c r="D6" s="542">
        <v>8</v>
      </c>
      <c r="E6" s="444" t="s">
        <v>2026</v>
      </c>
      <c r="F6" s="56"/>
      <c r="G6" s="56"/>
      <c r="H6" s="56"/>
      <c r="I6" s="56"/>
    </row>
    <row r="7" spans="1:11" ht="15.75" x14ac:dyDescent="0.25">
      <c r="C7" s="57" t="s">
        <v>2004</v>
      </c>
      <c r="D7" s="542">
        <v>2</v>
      </c>
      <c r="E7" s="444" t="s">
        <v>2026</v>
      </c>
      <c r="F7" s="56"/>
      <c r="G7" s="56"/>
      <c r="H7" s="56"/>
      <c r="I7" s="56"/>
      <c r="J7" s="543"/>
      <c r="K7" s="544"/>
    </row>
    <row r="8" spans="1:11" ht="15.75" x14ac:dyDescent="0.25">
      <c r="C8" s="57" t="s">
        <v>2027</v>
      </c>
      <c r="D8" s="542">
        <v>1.5</v>
      </c>
      <c r="E8" s="444" t="s">
        <v>2026</v>
      </c>
      <c r="F8" s="56"/>
      <c r="G8" s="56"/>
      <c r="H8" s="56"/>
      <c r="I8" s="56"/>
      <c r="J8" s="70"/>
      <c r="K8" s="70"/>
    </row>
    <row r="9" spans="1:11" ht="15.75" x14ac:dyDescent="0.25">
      <c r="B9" s="540">
        <f>(ROUNDUP(((0.7854*D6*D6*D8)-(0.7854*D7*D7*D8))*F19,0))+(ROUNDUP(0.2618*D13*(D12*D12+D12*D11+D11*D11)*F19,0))+(ROUNDUP(((0.7854*D17*D17*D19)-(0.7854*D18*D18*D19))*F19,0))</f>
        <v>503</v>
      </c>
      <c r="C9" s="33" t="s">
        <v>2014</v>
      </c>
      <c r="F9" s="56"/>
      <c r="G9" s="56"/>
      <c r="H9" s="56"/>
      <c r="I9" s="56"/>
      <c r="J9" s="70"/>
      <c r="K9" s="70"/>
    </row>
    <row r="10" spans="1:11" ht="15.75" x14ac:dyDescent="0.25">
      <c r="B10" s="541">
        <f>B9/2000</f>
        <v>0.2515</v>
      </c>
      <c r="C10" s="33" t="s">
        <v>1962</v>
      </c>
      <c r="F10" s="56"/>
      <c r="G10" s="56"/>
      <c r="H10" s="56"/>
      <c r="I10" s="56"/>
      <c r="J10" s="70"/>
      <c r="K10" s="70"/>
    </row>
    <row r="11" spans="1:11" ht="15.75" x14ac:dyDescent="0.25">
      <c r="B11" s="545" t="s">
        <v>2024</v>
      </c>
      <c r="C11" s="57" t="s">
        <v>2002</v>
      </c>
      <c r="D11" s="542">
        <v>4</v>
      </c>
      <c r="E11" s="444" t="s">
        <v>2026</v>
      </c>
      <c r="F11" s="56"/>
      <c r="G11" s="56"/>
      <c r="H11" s="56"/>
      <c r="I11" s="56"/>
      <c r="J11" s="543"/>
      <c r="K11" s="544"/>
    </row>
    <row r="12" spans="1:11" ht="15.75" x14ac:dyDescent="0.25">
      <c r="B12" s="545" t="s">
        <v>1109</v>
      </c>
      <c r="C12" s="57" t="s">
        <v>2001</v>
      </c>
      <c r="D12" s="542">
        <v>20</v>
      </c>
      <c r="E12" s="444" t="s">
        <v>2026</v>
      </c>
      <c r="F12" s="56"/>
      <c r="G12" s="56"/>
      <c r="H12" s="56"/>
      <c r="I12" s="56"/>
      <c r="J12" s="70"/>
      <c r="K12" s="70"/>
    </row>
    <row r="13" spans="1:11" ht="15.75" x14ac:dyDescent="0.25">
      <c r="C13" s="57" t="s">
        <v>2003</v>
      </c>
      <c r="D13" s="542">
        <v>10</v>
      </c>
      <c r="E13" s="444" t="s">
        <v>2026</v>
      </c>
      <c r="F13" s="56"/>
      <c r="G13" s="56"/>
      <c r="H13" s="56"/>
      <c r="I13" s="56"/>
      <c r="J13" s="70"/>
      <c r="K13" s="70"/>
    </row>
    <row r="14" spans="1:11" x14ac:dyDescent="0.2">
      <c r="F14" s="56"/>
      <c r="G14" s="56"/>
      <c r="H14" s="56"/>
      <c r="I14" s="56"/>
      <c r="J14" s="70"/>
      <c r="K14" s="70"/>
    </row>
    <row r="15" spans="1:11" x14ac:dyDescent="0.2">
      <c r="F15" s="56"/>
      <c r="G15" s="56"/>
      <c r="H15" s="56"/>
      <c r="I15" s="56"/>
      <c r="J15" s="70"/>
      <c r="K15" s="70"/>
    </row>
    <row r="16" spans="1:11" x14ac:dyDescent="0.2">
      <c r="F16" s="56"/>
      <c r="G16" s="56"/>
      <c r="H16" s="56"/>
      <c r="I16" s="56"/>
      <c r="J16" s="70"/>
      <c r="K16" s="70"/>
    </row>
    <row r="17" spans="2:11" ht="15.75" x14ac:dyDescent="0.25">
      <c r="C17" s="57" t="s">
        <v>2028</v>
      </c>
      <c r="D17" s="542">
        <v>24</v>
      </c>
      <c r="E17" s="444" t="s">
        <v>2026</v>
      </c>
      <c r="F17" s="56"/>
      <c r="G17" s="56"/>
      <c r="H17" s="56"/>
      <c r="I17" s="56"/>
      <c r="J17" s="70"/>
      <c r="K17" s="70"/>
    </row>
    <row r="18" spans="2:11" ht="15.75" customHeight="1" x14ac:dyDescent="0.25">
      <c r="C18" s="57" t="s">
        <v>2029</v>
      </c>
      <c r="D18" s="542">
        <v>18</v>
      </c>
      <c r="E18" s="444" t="s">
        <v>2026</v>
      </c>
      <c r="G18" s="56" t="s">
        <v>1998</v>
      </c>
      <c r="J18" s="543"/>
      <c r="K18" s="544"/>
    </row>
    <row r="19" spans="2:11" ht="15.75" x14ac:dyDescent="0.25">
      <c r="C19" s="57" t="s">
        <v>2030</v>
      </c>
      <c r="D19" s="542">
        <v>2</v>
      </c>
      <c r="E19" s="444" t="s">
        <v>2026</v>
      </c>
      <c r="F19" s="445">
        <f>LOOKUP(D22,Weights!B40:B49,Weights!E40:E49)</f>
        <v>0.28356481481481483</v>
      </c>
      <c r="G19" s="56" t="s">
        <v>1777</v>
      </c>
    </row>
    <row r="22" spans="2:11" x14ac:dyDescent="0.2">
      <c r="B22" s="42" t="s">
        <v>1300</v>
      </c>
      <c r="D22" s="35">
        <v>2</v>
      </c>
    </row>
    <row r="25" spans="2:11" ht="13.5" thickBot="1" x14ac:dyDescent="0.25">
      <c r="B25" s="25" t="s">
        <v>1817</v>
      </c>
    </row>
    <row r="26" spans="2:11" x14ac:dyDescent="0.2">
      <c r="B26" s="874"/>
      <c r="C26" s="875"/>
      <c r="D26" s="875"/>
      <c r="E26" s="875"/>
      <c r="F26" s="875"/>
      <c r="G26" s="875"/>
      <c r="H26" s="875"/>
      <c r="I26" s="876"/>
    </row>
    <row r="27" spans="2:11" x14ac:dyDescent="0.2">
      <c r="B27" s="877"/>
      <c r="C27" s="878"/>
      <c r="D27" s="878"/>
      <c r="E27" s="878"/>
      <c r="F27" s="878"/>
      <c r="G27" s="878"/>
      <c r="H27" s="878"/>
      <c r="I27" s="879"/>
    </row>
    <row r="28" spans="2:11" x14ac:dyDescent="0.2">
      <c r="B28" s="877"/>
      <c r="C28" s="878"/>
      <c r="D28" s="878"/>
      <c r="E28" s="878"/>
      <c r="F28" s="878"/>
      <c r="G28" s="878"/>
      <c r="H28" s="878"/>
      <c r="I28" s="879"/>
    </row>
    <row r="29" spans="2:11" x14ac:dyDescent="0.2">
      <c r="B29" s="877"/>
      <c r="C29" s="878"/>
      <c r="D29" s="878"/>
      <c r="E29" s="878"/>
      <c r="F29" s="878"/>
      <c r="G29" s="878"/>
      <c r="H29" s="878"/>
      <c r="I29" s="879"/>
    </row>
    <row r="30" spans="2:11" ht="13.5" thickBot="1" x14ac:dyDescent="0.25">
      <c r="B30" s="880"/>
      <c r="C30" s="881"/>
      <c r="D30" s="881"/>
      <c r="E30" s="881"/>
      <c r="F30" s="881"/>
      <c r="G30" s="881"/>
      <c r="H30" s="881"/>
      <c r="I30" s="882"/>
    </row>
  </sheetData>
  <sheetProtection password="D809" sheet="1" objects="1" scenarios="1" selectLockedCells="1"/>
  <mergeCells count="5">
    <mergeCell ref="F4:I4"/>
    <mergeCell ref="B26:I30"/>
    <mergeCell ref="C1:E1"/>
    <mergeCell ref="C2:E2"/>
    <mergeCell ref="C3:E3"/>
  </mergeCells>
  <phoneticPr fontId="15" type="noConversion"/>
  <conditionalFormatting sqref="D6:D8 D11:D13 D17:D19">
    <cfRule type="expression" dxfId="133" priority="1" stopIfTrue="1">
      <formula>(MASTERSWITCH=1)</formula>
    </cfRule>
  </conditionalFormatting>
  <conditionalFormatting sqref="C1:E3">
    <cfRule type="expression" dxfId="132" priority="2" stopIfTrue="1">
      <formula>(MASTERSWITCH=1)</formula>
    </cfRule>
  </conditionalFormatting>
  <printOptions horizontalCentered="1"/>
  <pageMargins left="0.75" right="0.75" top="1.75" bottom="1.5" header="0.5" footer="0.5"/>
  <pageSetup orientation="portrait" horizontalDpi="0" verticalDpi="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3315" r:id="rId5" name="Drop Down 3">
              <controlPr locked="0" defaultSize="0" autoFill="0" autoLine="0" autoPict="0">
                <anchor moveWithCells="1">
                  <from>
                    <xdr:col>2</xdr:col>
                    <xdr:colOff>47625</xdr:colOff>
                    <xdr:row>20</xdr:row>
                    <xdr:rowOff>142875</xdr:rowOff>
                  </from>
                  <to>
                    <xdr:col>4</xdr:col>
                    <xdr:colOff>257175</xdr:colOff>
                    <xdr:row>22</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50"/>
  <sheetViews>
    <sheetView showRowColHeaders="0" workbookViewId="0">
      <selection activeCell="D14" sqref="D14:F14"/>
    </sheetView>
  </sheetViews>
  <sheetFormatPr defaultRowHeight="12.75" x14ac:dyDescent="0.2"/>
  <cols>
    <col min="1" max="1" width="12.5703125" customWidth="1"/>
    <col min="2" max="2" width="7" customWidth="1"/>
  </cols>
  <sheetData>
    <row r="1" spans="1:21" x14ac:dyDescent="0.2">
      <c r="A1" s="35"/>
      <c r="B1" s="25"/>
      <c r="C1" s="25"/>
      <c r="D1" s="25"/>
      <c r="E1" s="25"/>
      <c r="F1" s="25"/>
      <c r="G1" s="25"/>
      <c r="H1" s="25"/>
      <c r="I1" s="25"/>
      <c r="J1" s="25"/>
      <c r="K1" s="25"/>
      <c r="L1" s="25"/>
      <c r="M1" s="25"/>
      <c r="N1" s="25"/>
      <c r="O1" s="25"/>
      <c r="P1" s="25"/>
      <c r="Q1" s="25"/>
      <c r="R1" s="25"/>
      <c r="S1" s="25"/>
      <c r="T1" s="25"/>
    </row>
    <row r="2" spans="1:21" ht="12.75" customHeight="1" x14ac:dyDescent="0.25">
      <c r="A2" s="25"/>
      <c r="B2" s="25"/>
      <c r="C2" s="634"/>
      <c r="D2" s="845"/>
      <c r="E2" s="845"/>
      <c r="F2" s="845"/>
      <c r="G2" s="845"/>
      <c r="H2" s="845"/>
      <c r="I2" s="845"/>
      <c r="J2" s="845"/>
      <c r="K2" s="845"/>
      <c r="L2" s="845"/>
      <c r="M2" s="634"/>
      <c r="N2" s="25"/>
      <c r="O2" s="25"/>
      <c r="P2" s="25"/>
      <c r="Q2" s="25"/>
      <c r="R2" s="25"/>
      <c r="S2" s="25"/>
      <c r="T2" s="25"/>
      <c r="U2" s="25"/>
    </row>
    <row r="3" spans="1:21" x14ac:dyDescent="0.2">
      <c r="A3" s="25"/>
      <c r="B3" s="25"/>
      <c r="C3" s="634"/>
      <c r="D3" s="634"/>
      <c r="E3" s="634"/>
      <c r="F3" s="634"/>
      <c r="G3" s="634"/>
      <c r="H3" s="634"/>
      <c r="I3" s="634"/>
      <c r="J3" s="634"/>
      <c r="K3" s="634"/>
      <c r="L3" s="634"/>
      <c r="M3" s="634"/>
      <c r="N3" s="25"/>
      <c r="O3" s="25"/>
      <c r="P3" s="25"/>
      <c r="Q3" s="25"/>
      <c r="R3" s="25"/>
      <c r="S3" s="25"/>
      <c r="T3" s="25"/>
      <c r="U3" s="25"/>
    </row>
    <row r="4" spans="1:21" x14ac:dyDescent="0.2">
      <c r="A4" s="25"/>
      <c r="B4" s="25"/>
      <c r="C4" s="634"/>
      <c r="D4" s="634"/>
      <c r="E4" s="634"/>
      <c r="F4" s="634"/>
      <c r="G4" s="634"/>
      <c r="H4" s="634"/>
      <c r="I4" s="634"/>
      <c r="J4" s="634"/>
      <c r="K4" s="634"/>
      <c r="L4" s="634"/>
      <c r="M4" s="634"/>
      <c r="N4" s="25"/>
      <c r="O4" s="25"/>
      <c r="P4" s="25"/>
      <c r="Q4" s="25"/>
      <c r="R4" s="25"/>
      <c r="S4" s="25"/>
      <c r="T4" s="25"/>
      <c r="U4" s="25"/>
    </row>
    <row r="5" spans="1:21" x14ac:dyDescent="0.2">
      <c r="A5" s="25"/>
      <c r="B5" s="25"/>
      <c r="C5" s="634"/>
      <c r="D5" s="634"/>
      <c r="E5" s="634"/>
      <c r="F5" s="634"/>
      <c r="G5" s="634"/>
      <c r="H5" s="634"/>
      <c r="I5" s="634"/>
      <c r="J5" s="634"/>
      <c r="K5" s="634"/>
      <c r="L5" s="634"/>
      <c r="M5" s="634"/>
      <c r="N5" s="25"/>
      <c r="O5" s="25"/>
      <c r="P5" s="25"/>
      <c r="Q5" s="25"/>
      <c r="R5" s="25"/>
      <c r="S5" s="25"/>
      <c r="T5" s="25"/>
      <c r="U5" s="25"/>
    </row>
    <row r="6" spans="1:21" x14ac:dyDescent="0.2">
      <c r="A6" s="25"/>
      <c r="B6" s="25"/>
      <c r="C6" s="634"/>
      <c r="D6" s="634"/>
      <c r="E6" s="634"/>
      <c r="F6" s="634"/>
      <c r="G6" s="634"/>
      <c r="H6" s="634"/>
      <c r="I6" s="634"/>
      <c r="J6" s="634"/>
      <c r="K6" s="634"/>
      <c r="L6" s="634"/>
      <c r="M6" s="634"/>
      <c r="N6" s="25"/>
      <c r="O6" s="25"/>
      <c r="P6" s="25"/>
      <c r="Q6" s="25"/>
      <c r="R6" s="25"/>
      <c r="S6" s="25"/>
      <c r="T6" s="25"/>
      <c r="U6" s="25"/>
    </row>
    <row r="7" spans="1:21" x14ac:dyDescent="0.2">
      <c r="A7" s="25"/>
      <c r="B7" s="25"/>
      <c r="C7" s="634"/>
      <c r="D7" s="634"/>
      <c r="E7" s="634"/>
      <c r="F7" s="634"/>
      <c r="G7" s="634"/>
      <c r="H7" s="634"/>
      <c r="I7" s="634"/>
      <c r="J7" s="634"/>
      <c r="K7" s="634"/>
      <c r="L7" s="634"/>
      <c r="M7" s="634"/>
      <c r="N7" s="25"/>
      <c r="O7" s="25"/>
      <c r="P7" s="25"/>
      <c r="Q7" s="25"/>
      <c r="R7" s="25"/>
      <c r="S7" s="25"/>
      <c r="T7" s="25"/>
      <c r="U7" s="25"/>
    </row>
    <row r="8" spans="1:21" x14ac:dyDescent="0.2">
      <c r="A8" s="25"/>
      <c r="B8" s="25"/>
      <c r="C8" s="634"/>
      <c r="D8" s="634"/>
      <c r="E8" s="634"/>
      <c r="F8" s="634"/>
      <c r="G8" s="634"/>
      <c r="H8" s="634"/>
      <c r="I8" s="634"/>
      <c r="J8" s="634"/>
      <c r="K8" s="634"/>
      <c r="L8" s="634"/>
      <c r="M8" s="634"/>
      <c r="N8" s="25"/>
      <c r="O8" s="25"/>
      <c r="P8" s="25"/>
      <c r="Q8" s="25"/>
      <c r="R8" s="25"/>
      <c r="S8" s="25"/>
      <c r="T8" s="25"/>
      <c r="U8" s="25"/>
    </row>
    <row r="9" spans="1:21" x14ac:dyDescent="0.2">
      <c r="A9" s="25"/>
      <c r="B9" s="25"/>
      <c r="C9" s="634"/>
      <c r="D9" s="634"/>
      <c r="E9" s="634"/>
      <c r="F9" s="634"/>
      <c r="G9" s="634"/>
      <c r="H9" s="634"/>
      <c r="I9" s="634"/>
      <c r="J9" s="634"/>
      <c r="K9" s="634"/>
      <c r="L9" s="634"/>
      <c r="M9" s="634"/>
      <c r="N9" s="25"/>
      <c r="O9" s="25"/>
      <c r="P9" s="25"/>
      <c r="Q9" s="25"/>
      <c r="R9" s="25"/>
      <c r="S9" s="25"/>
      <c r="T9" s="25"/>
      <c r="U9" s="25"/>
    </row>
    <row r="10" spans="1:21" x14ac:dyDescent="0.2">
      <c r="A10" s="25"/>
      <c r="B10" s="25"/>
      <c r="C10" s="634"/>
      <c r="D10" s="634"/>
      <c r="E10" s="634"/>
      <c r="F10" s="634"/>
      <c r="G10" s="634"/>
      <c r="H10" s="634"/>
      <c r="I10" s="634"/>
      <c r="J10" s="634"/>
      <c r="K10" s="634"/>
      <c r="L10" s="634"/>
      <c r="M10" s="634"/>
      <c r="N10" s="25"/>
      <c r="O10" s="25"/>
      <c r="P10" s="25"/>
      <c r="Q10" s="25"/>
      <c r="R10" s="25"/>
      <c r="S10" s="25"/>
      <c r="T10" s="25"/>
      <c r="U10" s="25"/>
    </row>
    <row r="11" spans="1:21" x14ac:dyDescent="0.2">
      <c r="A11" s="25"/>
      <c r="B11" s="25"/>
      <c r="C11" s="634"/>
      <c r="D11" s="634"/>
      <c r="E11" s="634"/>
      <c r="F11" s="634"/>
      <c r="G11" s="634"/>
      <c r="H11" s="634"/>
      <c r="I11" s="634"/>
      <c r="J11" s="634"/>
      <c r="K11" s="634"/>
      <c r="L11" s="634"/>
      <c r="M11" s="634"/>
      <c r="N11" s="25"/>
      <c r="O11" s="25"/>
      <c r="P11" s="25"/>
      <c r="Q11" s="25"/>
      <c r="R11" s="25"/>
      <c r="S11" s="25"/>
      <c r="T11" s="25"/>
      <c r="U11" s="25"/>
    </row>
    <row r="12" spans="1:21" x14ac:dyDescent="0.2">
      <c r="A12" s="25"/>
      <c r="B12" s="25"/>
      <c r="C12" s="634"/>
      <c r="D12" s="634"/>
      <c r="E12" s="634"/>
      <c r="F12" s="634"/>
      <c r="G12" s="634"/>
      <c r="H12" s="634"/>
      <c r="I12" s="634"/>
      <c r="J12" s="634"/>
      <c r="K12" s="634"/>
      <c r="L12" s="634"/>
      <c r="M12" s="634"/>
      <c r="N12" s="25"/>
      <c r="O12" s="25"/>
      <c r="P12" s="25"/>
      <c r="Q12" s="25"/>
      <c r="R12" s="25"/>
      <c r="S12" s="25"/>
      <c r="T12" s="25"/>
      <c r="U12" s="25"/>
    </row>
    <row r="13" spans="1:21" x14ac:dyDescent="0.2">
      <c r="A13" s="25"/>
      <c r="B13" s="25"/>
      <c r="C13" s="634"/>
      <c r="D13" s="634"/>
      <c r="E13" s="634"/>
      <c r="F13" s="634"/>
      <c r="G13" s="634"/>
      <c r="H13" s="634"/>
      <c r="I13" s="634"/>
      <c r="J13" s="634"/>
      <c r="K13" s="634"/>
      <c r="L13" s="634"/>
      <c r="M13" s="634"/>
      <c r="N13" s="25"/>
      <c r="O13" s="25"/>
      <c r="P13" s="25"/>
      <c r="Q13" s="25"/>
      <c r="R13" s="25"/>
      <c r="S13" s="25"/>
      <c r="T13" s="25"/>
      <c r="U13" s="25"/>
    </row>
    <row r="14" spans="1:21" ht="12.75" customHeight="1" x14ac:dyDescent="0.2">
      <c r="A14" s="25"/>
      <c r="B14" s="25"/>
      <c r="C14" s="634"/>
      <c r="D14" s="847" t="s">
        <v>623</v>
      </c>
      <c r="E14" s="847"/>
      <c r="F14" s="847"/>
      <c r="G14" s="634"/>
      <c r="H14" s="634"/>
      <c r="I14" s="634"/>
      <c r="J14" s="634"/>
      <c r="K14" s="634"/>
      <c r="L14" s="634"/>
      <c r="M14" s="634"/>
      <c r="N14" s="25"/>
      <c r="O14" s="25"/>
      <c r="P14" s="25"/>
      <c r="Q14" s="25"/>
      <c r="R14" s="25"/>
      <c r="S14" s="25"/>
      <c r="T14" s="25"/>
      <c r="U14" s="25"/>
    </row>
    <row r="15" spans="1:21" ht="38.25" customHeight="1" x14ac:dyDescent="0.2">
      <c r="A15" s="25"/>
      <c r="B15" s="25"/>
      <c r="C15" s="846" t="s">
        <v>1357</v>
      </c>
      <c r="D15" s="846"/>
      <c r="E15" s="753"/>
      <c r="F15" s="846" t="s">
        <v>1356</v>
      </c>
      <c r="G15" s="846"/>
      <c r="H15" s="634"/>
      <c r="I15" s="634"/>
      <c r="J15" s="634"/>
      <c r="K15" s="634"/>
      <c r="L15" s="634"/>
      <c r="M15" s="634"/>
      <c r="N15" s="25"/>
      <c r="O15" s="25"/>
      <c r="P15" s="25"/>
      <c r="Q15" s="25"/>
      <c r="R15" s="25"/>
      <c r="S15" s="25"/>
      <c r="T15" s="25"/>
      <c r="U15" s="25"/>
    </row>
    <row r="16" spans="1:21" x14ac:dyDescent="0.2">
      <c r="A16" s="25"/>
      <c r="B16" s="25"/>
      <c r="C16" s="634"/>
      <c r="D16" s="634"/>
      <c r="E16" s="634"/>
      <c r="F16" s="634"/>
      <c r="G16" s="634"/>
      <c r="H16" s="634"/>
      <c r="I16" s="634"/>
      <c r="J16" s="634"/>
      <c r="K16" s="634"/>
      <c r="L16" s="634"/>
      <c r="M16" s="634"/>
      <c r="N16" s="25"/>
      <c r="O16" s="25"/>
      <c r="P16" s="25"/>
      <c r="Q16" s="25"/>
      <c r="R16" s="25"/>
      <c r="S16" s="25"/>
      <c r="T16" s="25"/>
      <c r="U16" s="25"/>
    </row>
    <row r="17" spans="1:21" ht="15.75" x14ac:dyDescent="0.2">
      <c r="A17" s="25"/>
      <c r="B17" s="25"/>
      <c r="C17" s="844" t="s">
        <v>1941</v>
      </c>
      <c r="D17" s="844"/>
      <c r="E17" s="844"/>
      <c r="F17" s="844"/>
      <c r="G17" s="844"/>
      <c r="H17" s="634"/>
      <c r="I17" s="634"/>
      <c r="J17" s="634"/>
      <c r="K17" s="634"/>
      <c r="L17" s="634"/>
      <c r="M17" s="634"/>
      <c r="N17" s="25"/>
      <c r="O17" s="25"/>
      <c r="P17" s="25"/>
      <c r="Q17" s="25"/>
      <c r="R17" s="25"/>
      <c r="S17" s="25"/>
      <c r="T17" s="25"/>
      <c r="U17" s="25"/>
    </row>
    <row r="18" spans="1:21" x14ac:dyDescent="0.2">
      <c r="A18" s="25"/>
      <c r="B18" s="25"/>
      <c r="C18" s="634"/>
      <c r="D18" s="634"/>
      <c r="E18" s="634"/>
      <c r="F18" s="634"/>
      <c r="G18" s="634"/>
      <c r="H18" s="634"/>
      <c r="I18" s="634"/>
      <c r="J18" s="634"/>
      <c r="K18" s="634"/>
      <c r="L18" s="634"/>
      <c r="M18" s="634"/>
      <c r="N18" s="25"/>
      <c r="O18" s="25"/>
      <c r="P18" s="25"/>
      <c r="Q18" s="25"/>
      <c r="R18" s="25"/>
      <c r="S18" s="25"/>
      <c r="T18" s="25"/>
      <c r="U18" s="25"/>
    </row>
    <row r="19" spans="1:21" x14ac:dyDescent="0.2">
      <c r="A19" s="25"/>
      <c r="B19" s="25"/>
      <c r="C19" s="634"/>
      <c r="D19" s="25"/>
      <c r="E19" s="25"/>
      <c r="F19" s="25"/>
      <c r="G19" s="25"/>
      <c r="H19" s="25"/>
      <c r="I19" s="25"/>
      <c r="J19" s="25"/>
      <c r="K19" s="25"/>
      <c r="L19" s="25"/>
      <c r="M19" s="634"/>
      <c r="N19" s="25"/>
      <c r="O19" s="25"/>
      <c r="P19" s="25"/>
      <c r="Q19" s="25"/>
      <c r="R19" s="25"/>
      <c r="S19" s="25"/>
      <c r="T19" s="25"/>
      <c r="U19" s="25"/>
    </row>
    <row r="20" spans="1:21" ht="15.75" customHeight="1" x14ac:dyDescent="0.2">
      <c r="A20" s="25"/>
      <c r="B20" s="25"/>
      <c r="C20" s="25"/>
      <c r="D20" s="25"/>
      <c r="E20" s="25"/>
      <c r="F20" s="25"/>
      <c r="G20" s="25"/>
      <c r="H20" s="634"/>
      <c r="I20" s="634"/>
      <c r="J20" s="634"/>
      <c r="K20" s="634"/>
      <c r="L20" s="634"/>
      <c r="M20" s="634"/>
      <c r="N20" s="25"/>
      <c r="O20" s="25"/>
      <c r="P20" s="25"/>
      <c r="Q20" s="25"/>
      <c r="R20" s="25"/>
      <c r="S20" s="25"/>
      <c r="T20" s="25"/>
      <c r="U20" s="25"/>
    </row>
    <row r="21" spans="1:21" x14ac:dyDescent="0.2">
      <c r="A21" s="69" t="s">
        <v>1359</v>
      </c>
      <c r="B21" s="25"/>
      <c r="C21" s="634"/>
      <c r="D21" s="634"/>
      <c r="E21" s="634"/>
      <c r="F21" s="634"/>
      <c r="G21" s="634"/>
      <c r="H21" s="634"/>
      <c r="I21" s="634"/>
      <c r="J21" s="634"/>
      <c r="K21" s="634"/>
      <c r="L21" s="634"/>
      <c r="M21" s="634"/>
      <c r="N21" s="25"/>
      <c r="O21" s="25"/>
      <c r="P21" s="25"/>
      <c r="Q21" s="25"/>
      <c r="R21" s="25"/>
      <c r="S21" s="25"/>
      <c r="T21" s="25"/>
      <c r="U21" s="25"/>
    </row>
    <row r="22" spans="1:21" x14ac:dyDescent="0.2">
      <c r="A22" s="69" t="s">
        <v>1360</v>
      </c>
      <c r="B22" s="25"/>
      <c r="C22" s="25"/>
      <c r="D22" s="25"/>
      <c r="E22" s="25"/>
      <c r="F22" s="25"/>
      <c r="G22" s="25"/>
      <c r="H22" s="25"/>
      <c r="I22" s="25"/>
      <c r="J22" s="25"/>
      <c r="K22" s="25"/>
      <c r="L22" s="25"/>
      <c r="M22" s="25"/>
      <c r="N22" s="25"/>
      <c r="O22" s="25"/>
      <c r="P22" s="25"/>
      <c r="Q22" s="25"/>
      <c r="R22" s="25"/>
      <c r="S22" s="25"/>
      <c r="T22" s="25"/>
      <c r="U22" s="25"/>
    </row>
    <row r="23" spans="1:21" x14ac:dyDescent="0.2">
      <c r="A23" s="69" t="s">
        <v>1361</v>
      </c>
      <c r="B23" s="25"/>
      <c r="C23" s="25"/>
      <c r="D23" s="25"/>
      <c r="E23" s="25"/>
      <c r="F23" s="25"/>
      <c r="G23" s="25"/>
      <c r="H23" s="25"/>
      <c r="I23" s="25"/>
      <c r="J23" s="25"/>
      <c r="K23" s="25"/>
      <c r="L23" s="25"/>
      <c r="M23" s="25"/>
      <c r="N23" s="25"/>
      <c r="O23" s="25"/>
      <c r="P23" s="25"/>
      <c r="Q23" s="25"/>
      <c r="R23" s="25"/>
      <c r="S23" s="25"/>
      <c r="T23" s="25"/>
      <c r="U23" s="25"/>
    </row>
    <row r="24" spans="1:21" x14ac:dyDescent="0.2">
      <c r="A24" s="69" t="s">
        <v>1362</v>
      </c>
      <c r="B24" s="25"/>
      <c r="C24" s="25"/>
      <c r="D24" s="25"/>
      <c r="E24" s="25"/>
      <c r="F24" s="25"/>
      <c r="G24" s="25"/>
      <c r="H24" s="25"/>
      <c r="I24" s="25"/>
      <c r="J24" s="25"/>
      <c r="K24" s="25"/>
      <c r="L24" s="25"/>
      <c r="M24" s="25"/>
      <c r="N24" s="25"/>
      <c r="O24" s="25"/>
      <c r="P24" s="25"/>
      <c r="Q24" s="25"/>
      <c r="R24" s="25"/>
      <c r="S24" s="25"/>
      <c r="T24" s="25"/>
      <c r="U24" s="25"/>
    </row>
    <row r="25" spans="1:21" x14ac:dyDescent="0.2">
      <c r="A25" s="69" t="s">
        <v>1363</v>
      </c>
      <c r="B25" s="25"/>
      <c r="C25" s="25"/>
      <c r="D25" s="25"/>
      <c r="E25" s="25"/>
      <c r="F25" s="25"/>
      <c r="G25" s="25"/>
      <c r="H25" s="25"/>
      <c r="I25" s="25"/>
      <c r="J25" s="25"/>
      <c r="K25" s="25"/>
      <c r="L25" s="25"/>
      <c r="M25" s="25"/>
      <c r="N25" s="25"/>
      <c r="O25" s="25"/>
      <c r="P25" s="25"/>
      <c r="Q25" s="25"/>
      <c r="R25" s="25"/>
      <c r="S25" s="25"/>
      <c r="T25" s="25"/>
      <c r="U25" s="25"/>
    </row>
    <row r="26" spans="1:21" x14ac:dyDescent="0.2">
      <c r="A26" s="25"/>
      <c r="B26" s="25"/>
      <c r="C26" s="25"/>
      <c r="D26" s="25"/>
      <c r="E26" s="25"/>
      <c r="F26" s="25"/>
      <c r="G26" s="25"/>
      <c r="H26" s="25"/>
      <c r="I26" s="25"/>
      <c r="J26" s="25"/>
      <c r="K26" s="25"/>
      <c r="L26" s="25"/>
      <c r="M26" s="25"/>
      <c r="N26" s="25"/>
      <c r="O26" s="25"/>
      <c r="P26" s="25"/>
      <c r="Q26" s="25"/>
      <c r="R26" s="25"/>
      <c r="S26" s="25"/>
      <c r="T26" s="25"/>
      <c r="U26" s="25"/>
    </row>
    <row r="27" spans="1:21" x14ac:dyDescent="0.2">
      <c r="A27" s="25"/>
      <c r="B27" s="25"/>
      <c r="C27" s="25"/>
      <c r="D27" s="25"/>
      <c r="E27" s="25"/>
      <c r="F27" s="25"/>
      <c r="G27" s="25"/>
      <c r="H27" s="25"/>
      <c r="I27" s="25"/>
      <c r="J27" s="25"/>
      <c r="K27" s="25"/>
      <c r="L27" s="25"/>
      <c r="M27" s="25"/>
      <c r="N27" s="25"/>
      <c r="O27" s="25"/>
      <c r="P27" s="25"/>
      <c r="Q27" s="25"/>
      <c r="R27" s="25"/>
      <c r="S27" s="25"/>
      <c r="T27" s="25"/>
      <c r="U27" s="25"/>
    </row>
    <row r="28" spans="1:21" x14ac:dyDescent="0.2">
      <c r="A28" s="25"/>
      <c r="B28" s="25"/>
      <c r="C28" s="25"/>
      <c r="D28" s="25"/>
      <c r="E28" s="25"/>
      <c r="F28" s="25"/>
      <c r="G28" s="25"/>
      <c r="H28" s="25"/>
      <c r="I28" s="25"/>
      <c r="J28" s="25"/>
      <c r="K28" s="25"/>
      <c r="L28" s="25"/>
      <c r="M28" s="25"/>
      <c r="N28" s="25"/>
      <c r="O28" s="25"/>
      <c r="P28" s="25"/>
      <c r="Q28" s="25"/>
      <c r="R28" s="25"/>
      <c r="S28" s="25"/>
      <c r="T28" s="25"/>
      <c r="U28" s="25"/>
    </row>
    <row r="29" spans="1:21" x14ac:dyDescent="0.2">
      <c r="A29" s="25"/>
      <c r="B29" s="25"/>
      <c r="C29" s="25"/>
      <c r="D29" s="25"/>
      <c r="E29" s="25"/>
      <c r="F29" s="25"/>
      <c r="G29" s="25"/>
      <c r="H29" s="25"/>
      <c r="I29" s="25"/>
      <c r="J29" s="25"/>
      <c r="K29" s="25"/>
      <c r="L29" s="25"/>
      <c r="M29" s="25"/>
      <c r="N29" s="25"/>
      <c r="O29" s="25"/>
      <c r="P29" s="25"/>
      <c r="Q29" s="25"/>
      <c r="R29" s="25"/>
      <c r="S29" s="25"/>
      <c r="T29" s="25"/>
      <c r="U29" s="25"/>
    </row>
    <row r="30" spans="1:21" ht="15.75" x14ac:dyDescent="0.25">
      <c r="A30" s="25"/>
      <c r="B30" s="25"/>
      <c r="C30" s="843" t="s">
        <v>1942</v>
      </c>
      <c r="D30" s="843"/>
      <c r="E30" s="843"/>
      <c r="F30" s="843"/>
      <c r="G30" s="843"/>
      <c r="H30" s="25"/>
      <c r="I30" s="25"/>
      <c r="J30" s="25"/>
      <c r="K30" s="25"/>
      <c r="L30" s="25"/>
      <c r="M30" s="25"/>
      <c r="N30" s="25"/>
      <c r="O30" s="25"/>
      <c r="P30" s="25"/>
      <c r="Q30" s="25"/>
      <c r="R30" s="25"/>
      <c r="S30" s="25"/>
      <c r="T30" s="25"/>
      <c r="U30" s="25"/>
    </row>
    <row r="31" spans="1:21" x14ac:dyDescent="0.2">
      <c r="A31" s="25"/>
      <c r="B31" s="25"/>
      <c r="C31" s="25"/>
      <c r="D31" s="25"/>
      <c r="E31" s="25"/>
      <c r="F31" s="25"/>
      <c r="G31" s="25"/>
      <c r="H31" s="25"/>
      <c r="I31" s="25"/>
      <c r="J31" s="25"/>
      <c r="K31" s="25"/>
      <c r="L31" s="25"/>
      <c r="M31" s="25"/>
      <c r="N31" s="25"/>
      <c r="O31" s="25"/>
      <c r="P31" s="25"/>
      <c r="Q31" s="25"/>
      <c r="R31" s="25"/>
      <c r="S31" s="25"/>
      <c r="T31" s="25"/>
      <c r="U31" s="25"/>
    </row>
    <row r="32" spans="1:21" x14ac:dyDescent="0.2">
      <c r="A32" s="25"/>
      <c r="B32" s="25"/>
      <c r="C32" s="25"/>
      <c r="D32" s="25"/>
      <c r="E32" s="25"/>
      <c r="F32" s="25"/>
      <c r="G32" s="25"/>
      <c r="H32" s="25"/>
      <c r="I32" s="25"/>
      <c r="J32" s="25"/>
      <c r="K32" s="25"/>
      <c r="L32" s="25"/>
      <c r="M32" s="25"/>
      <c r="N32" s="25"/>
      <c r="O32" s="25"/>
      <c r="P32" s="25"/>
      <c r="Q32" s="25"/>
      <c r="R32" s="25"/>
      <c r="S32" s="25"/>
      <c r="T32" s="25"/>
      <c r="U32" s="25"/>
    </row>
    <row r="33" spans="1:21" x14ac:dyDescent="0.2">
      <c r="A33" s="25"/>
      <c r="B33" s="25"/>
      <c r="C33" s="25"/>
      <c r="D33" s="25"/>
      <c r="E33" s="25"/>
      <c r="F33" s="25"/>
      <c r="G33" s="25"/>
      <c r="H33" s="25"/>
      <c r="I33" s="25"/>
      <c r="J33" s="25"/>
      <c r="K33" s="25"/>
      <c r="L33" s="25"/>
      <c r="M33" s="25"/>
      <c r="N33" s="25"/>
      <c r="O33" s="25"/>
      <c r="P33" s="25"/>
      <c r="Q33" s="25"/>
      <c r="R33" s="25"/>
      <c r="S33" s="25"/>
      <c r="T33" s="25"/>
      <c r="U33" s="25"/>
    </row>
    <row r="34" spans="1:21" x14ac:dyDescent="0.2">
      <c r="A34" s="25"/>
      <c r="B34" s="25"/>
      <c r="C34" s="25"/>
      <c r="D34" s="25"/>
      <c r="E34" s="25"/>
      <c r="F34" s="25"/>
      <c r="G34" s="25"/>
      <c r="H34" s="25"/>
      <c r="I34" s="25"/>
      <c r="J34" s="25"/>
      <c r="K34" s="25"/>
      <c r="L34" s="25"/>
      <c r="M34" s="25"/>
      <c r="N34" s="25"/>
      <c r="O34" s="25"/>
      <c r="P34" s="25"/>
      <c r="Q34" s="25"/>
      <c r="R34" s="25"/>
      <c r="S34" s="25"/>
      <c r="T34" s="25"/>
      <c r="U34" s="25"/>
    </row>
    <row r="35" spans="1:21" x14ac:dyDescent="0.2">
      <c r="A35" s="25"/>
      <c r="B35" s="25"/>
      <c r="C35" s="25"/>
      <c r="D35" s="25"/>
      <c r="E35" s="25"/>
      <c r="F35" s="25"/>
      <c r="G35" s="25"/>
      <c r="H35" s="25"/>
      <c r="I35" s="25"/>
      <c r="J35" s="25"/>
      <c r="K35" s="25"/>
      <c r="L35" s="25"/>
      <c r="M35" s="25"/>
      <c r="N35" s="25"/>
      <c r="O35" s="25"/>
      <c r="P35" s="25"/>
      <c r="Q35" s="25"/>
      <c r="R35" s="25"/>
      <c r="S35" s="25"/>
      <c r="T35" s="25"/>
      <c r="U35" s="25"/>
    </row>
    <row r="36" spans="1:21" x14ac:dyDescent="0.2">
      <c r="A36" s="25"/>
      <c r="B36" s="25"/>
      <c r="C36" s="25"/>
      <c r="D36" s="25"/>
      <c r="E36" s="25"/>
      <c r="F36" s="25"/>
      <c r="H36" s="25"/>
      <c r="I36" s="25"/>
      <c r="J36" s="25"/>
      <c r="K36" s="25"/>
      <c r="L36" s="25"/>
      <c r="M36" s="25"/>
      <c r="N36" s="25"/>
      <c r="O36" s="25"/>
      <c r="P36" s="25"/>
      <c r="Q36" s="25"/>
      <c r="R36" s="25"/>
      <c r="S36" s="25"/>
      <c r="T36" s="25"/>
      <c r="U36" s="25"/>
    </row>
    <row r="37" spans="1:21" x14ac:dyDescent="0.2">
      <c r="A37" s="25"/>
      <c r="B37" s="25"/>
      <c r="C37" s="25"/>
      <c r="D37" s="25"/>
      <c r="E37" s="25"/>
      <c r="F37" s="25"/>
      <c r="G37" s="25"/>
      <c r="H37" s="25"/>
      <c r="I37" s="25"/>
      <c r="J37" s="25"/>
      <c r="K37" s="25"/>
      <c r="L37" s="25"/>
      <c r="M37" s="25"/>
      <c r="N37" s="25"/>
      <c r="O37" s="25"/>
      <c r="P37" s="25"/>
      <c r="Q37" s="25"/>
      <c r="R37" s="25"/>
      <c r="S37" s="25"/>
      <c r="T37" s="25"/>
      <c r="U37" s="25"/>
    </row>
    <row r="38" spans="1:21" x14ac:dyDescent="0.2">
      <c r="A38" s="25"/>
      <c r="B38" s="25"/>
      <c r="C38" s="25"/>
      <c r="D38" s="25"/>
      <c r="E38" s="25"/>
      <c r="F38" s="25"/>
      <c r="G38" s="25"/>
      <c r="H38" s="25"/>
      <c r="I38" s="25"/>
      <c r="J38" s="25"/>
      <c r="K38" s="25"/>
      <c r="L38" s="25"/>
      <c r="M38" s="25"/>
      <c r="N38" s="25"/>
      <c r="O38" s="25"/>
      <c r="P38" s="25"/>
      <c r="Q38" s="25"/>
      <c r="R38" s="25"/>
      <c r="S38" s="25"/>
      <c r="T38" s="25"/>
      <c r="U38" s="25"/>
    </row>
    <row r="39" spans="1:21" x14ac:dyDescent="0.2">
      <c r="A39" s="25"/>
      <c r="B39" s="25"/>
      <c r="C39" s="25"/>
      <c r="D39" s="25"/>
      <c r="E39" s="25"/>
      <c r="F39" s="25"/>
      <c r="G39" s="25"/>
      <c r="H39" s="25"/>
      <c r="I39" s="25"/>
      <c r="J39" s="25"/>
      <c r="K39" s="25"/>
      <c r="L39" s="25"/>
      <c r="M39" s="25"/>
      <c r="N39" s="25"/>
      <c r="O39" s="25"/>
      <c r="P39" s="25"/>
      <c r="Q39" s="25"/>
      <c r="R39" s="25"/>
      <c r="S39" s="25"/>
      <c r="T39" s="25"/>
      <c r="U39" s="25"/>
    </row>
    <row r="40" spans="1:21" x14ac:dyDescent="0.2">
      <c r="A40" s="25"/>
      <c r="B40" s="25"/>
      <c r="C40" s="25"/>
      <c r="D40" s="25"/>
      <c r="E40" s="25"/>
      <c r="F40" s="25"/>
      <c r="G40" s="25"/>
      <c r="H40" s="25"/>
      <c r="I40" s="25"/>
      <c r="J40" s="25"/>
      <c r="K40" s="25"/>
      <c r="L40" s="25"/>
      <c r="M40" s="25"/>
      <c r="N40" s="25"/>
      <c r="O40" s="25"/>
      <c r="P40" s="25"/>
      <c r="Q40" s="25"/>
      <c r="R40" s="25"/>
      <c r="S40" s="25"/>
      <c r="T40" s="25"/>
      <c r="U40" s="25"/>
    </row>
    <row r="41" spans="1:21" x14ac:dyDescent="0.2">
      <c r="A41" s="25"/>
      <c r="B41" s="25"/>
      <c r="C41" s="25"/>
      <c r="D41" s="25"/>
      <c r="E41" s="25"/>
      <c r="F41" s="25"/>
      <c r="G41" s="25"/>
      <c r="H41" s="25"/>
      <c r="I41" s="25"/>
      <c r="J41" s="25"/>
      <c r="K41" s="25"/>
      <c r="L41" s="25"/>
      <c r="M41" s="25"/>
      <c r="N41" s="25"/>
      <c r="O41" s="25"/>
      <c r="P41" s="25"/>
      <c r="Q41" s="25"/>
      <c r="R41" s="25"/>
      <c r="S41" s="25"/>
      <c r="T41" s="25"/>
      <c r="U41" s="25"/>
    </row>
    <row r="42" spans="1:21" x14ac:dyDescent="0.2">
      <c r="A42" s="25"/>
      <c r="B42" s="25"/>
      <c r="C42" s="25"/>
      <c r="D42" s="25"/>
      <c r="E42" s="25"/>
      <c r="F42" s="25"/>
      <c r="G42" s="25"/>
      <c r="H42" s="25"/>
      <c r="I42" s="25"/>
      <c r="J42" s="25"/>
      <c r="K42" s="25"/>
      <c r="L42" s="25"/>
      <c r="M42" s="25"/>
      <c r="N42" s="25"/>
      <c r="O42" s="25"/>
      <c r="P42" s="25"/>
      <c r="Q42" s="25"/>
      <c r="R42" s="25"/>
      <c r="S42" s="25"/>
      <c r="T42" s="25"/>
      <c r="U42" s="25"/>
    </row>
    <row r="43" spans="1:21" x14ac:dyDescent="0.2">
      <c r="A43" s="25"/>
      <c r="B43" s="25"/>
      <c r="C43" s="25"/>
      <c r="D43" s="25"/>
      <c r="E43" s="25"/>
      <c r="F43" s="25"/>
      <c r="G43" s="25"/>
      <c r="H43" s="25"/>
      <c r="I43" s="25"/>
      <c r="J43" s="25"/>
      <c r="K43" s="25"/>
      <c r="L43" s="25"/>
      <c r="M43" s="25"/>
      <c r="N43" s="25"/>
      <c r="O43" s="25"/>
      <c r="P43" s="25"/>
      <c r="Q43" s="25"/>
      <c r="R43" s="25"/>
      <c r="S43" s="25"/>
      <c r="T43" s="25"/>
      <c r="U43" s="25"/>
    </row>
    <row r="44" spans="1:21" x14ac:dyDescent="0.2">
      <c r="A44" s="25"/>
      <c r="B44" s="25"/>
      <c r="C44" s="25"/>
      <c r="D44" s="25"/>
      <c r="E44" s="25"/>
      <c r="F44" s="25"/>
      <c r="G44" s="25"/>
      <c r="H44" s="25"/>
      <c r="I44" s="25"/>
      <c r="J44" s="25"/>
      <c r="K44" s="25"/>
      <c r="L44" s="25"/>
      <c r="M44" s="25"/>
      <c r="N44" s="25"/>
      <c r="O44" s="25"/>
      <c r="P44" s="25"/>
      <c r="Q44" s="25"/>
      <c r="R44" s="25"/>
      <c r="S44" s="25"/>
      <c r="T44" s="25"/>
      <c r="U44" s="25"/>
    </row>
    <row r="45" spans="1:21" x14ac:dyDescent="0.2">
      <c r="A45" s="25"/>
      <c r="B45" s="25"/>
      <c r="C45" s="25"/>
      <c r="D45" s="25"/>
      <c r="E45" s="25"/>
      <c r="F45" s="25"/>
      <c r="G45" s="25"/>
      <c r="H45" s="25"/>
      <c r="I45" s="25"/>
      <c r="J45" s="25"/>
      <c r="K45" s="25"/>
      <c r="L45" s="25"/>
      <c r="M45" s="25"/>
      <c r="N45" s="25"/>
      <c r="O45" s="25"/>
      <c r="P45" s="25"/>
      <c r="Q45" s="25"/>
      <c r="R45" s="25"/>
      <c r="S45" s="25"/>
      <c r="T45" s="25"/>
      <c r="U45" s="25"/>
    </row>
    <row r="46" spans="1:21" x14ac:dyDescent="0.2">
      <c r="A46" s="25"/>
      <c r="B46" s="25"/>
      <c r="C46" s="25"/>
      <c r="D46" s="25"/>
      <c r="E46" s="25"/>
      <c r="F46" s="25"/>
      <c r="G46" s="25"/>
      <c r="H46" s="25"/>
      <c r="I46" s="25"/>
      <c r="J46" s="25"/>
      <c r="K46" s="25"/>
      <c r="L46" s="25"/>
      <c r="M46" s="25"/>
      <c r="N46" s="25"/>
      <c r="O46" s="25"/>
      <c r="P46" s="25"/>
      <c r="Q46" s="25"/>
      <c r="R46" s="25"/>
      <c r="S46" s="25"/>
      <c r="T46" s="25"/>
      <c r="U46" s="25"/>
    </row>
    <row r="47" spans="1:21" x14ac:dyDescent="0.2">
      <c r="A47" s="25"/>
      <c r="B47" s="25"/>
      <c r="C47" s="25"/>
      <c r="D47" s="25"/>
      <c r="E47" s="25"/>
      <c r="F47" s="25"/>
      <c r="G47" s="25"/>
      <c r="H47" s="25"/>
      <c r="I47" s="25"/>
      <c r="J47" s="25"/>
      <c r="K47" s="25"/>
      <c r="L47" s="25"/>
      <c r="M47" s="25"/>
      <c r="N47" s="25"/>
      <c r="O47" s="25"/>
      <c r="P47" s="25"/>
      <c r="Q47" s="25"/>
      <c r="R47" s="25"/>
      <c r="S47" s="25"/>
      <c r="T47" s="25"/>
      <c r="U47" s="25"/>
    </row>
    <row r="48" spans="1:21" x14ac:dyDescent="0.2">
      <c r="A48" s="25"/>
      <c r="B48" s="25"/>
      <c r="C48" s="25"/>
      <c r="D48" s="25"/>
      <c r="E48" s="25"/>
      <c r="F48" s="25"/>
      <c r="G48" s="25"/>
      <c r="H48" s="25"/>
      <c r="I48" s="25"/>
      <c r="J48" s="25"/>
      <c r="K48" s="25"/>
      <c r="L48" s="25"/>
      <c r="M48" s="25"/>
      <c r="N48" s="25"/>
      <c r="O48" s="25"/>
      <c r="P48" s="25"/>
      <c r="Q48" s="25"/>
      <c r="R48" s="25"/>
      <c r="S48" s="25"/>
      <c r="T48" s="25"/>
    </row>
    <row r="49" spans="1:20" x14ac:dyDescent="0.2">
      <c r="A49" s="25"/>
      <c r="B49" s="25"/>
      <c r="C49" s="25"/>
      <c r="D49" s="25"/>
      <c r="E49" s="25"/>
      <c r="F49" s="25"/>
      <c r="G49" s="25"/>
      <c r="H49" s="25"/>
      <c r="I49" s="25"/>
      <c r="J49" s="25"/>
      <c r="K49" s="25"/>
      <c r="L49" s="25"/>
      <c r="M49" s="25"/>
      <c r="N49" s="25"/>
      <c r="O49" s="25"/>
      <c r="P49" s="25"/>
      <c r="Q49" s="25"/>
      <c r="R49" s="25"/>
      <c r="S49" s="25"/>
      <c r="T49" s="25"/>
    </row>
    <row r="50" spans="1:20" x14ac:dyDescent="0.2">
      <c r="A50" s="25"/>
      <c r="B50" s="25"/>
      <c r="C50" s="25"/>
      <c r="D50" s="25"/>
      <c r="E50" s="25"/>
      <c r="F50" s="25"/>
      <c r="G50" s="25"/>
      <c r="H50" s="25"/>
      <c r="I50" s="25"/>
      <c r="J50" s="25"/>
      <c r="K50" s="25"/>
      <c r="L50" s="25"/>
      <c r="M50" s="25"/>
      <c r="N50" s="25"/>
      <c r="O50" s="25"/>
      <c r="P50" s="25"/>
      <c r="Q50" s="25"/>
      <c r="R50" s="25"/>
      <c r="S50" s="25"/>
      <c r="T50" s="25"/>
    </row>
    <row r="51" spans="1:20" x14ac:dyDescent="0.2">
      <c r="A51" s="25"/>
      <c r="B51" s="25"/>
      <c r="C51" s="25"/>
      <c r="D51" s="25"/>
      <c r="E51" s="25"/>
      <c r="F51" s="25"/>
      <c r="G51" s="25"/>
      <c r="H51" s="25"/>
      <c r="I51" s="25"/>
      <c r="J51" s="25"/>
      <c r="K51" s="25"/>
      <c r="L51" s="25"/>
      <c r="M51" s="25"/>
      <c r="N51" s="25"/>
      <c r="O51" s="25"/>
      <c r="P51" s="25"/>
      <c r="Q51" s="25"/>
      <c r="R51" s="25"/>
      <c r="S51" s="25"/>
      <c r="T51" s="25"/>
    </row>
    <row r="52" spans="1:20" x14ac:dyDescent="0.2">
      <c r="A52" s="25"/>
      <c r="B52" s="25"/>
      <c r="C52" s="25"/>
      <c r="D52" s="25"/>
      <c r="E52" s="25"/>
      <c r="F52" s="25"/>
      <c r="G52" s="25"/>
      <c r="H52" s="25"/>
      <c r="I52" s="25"/>
      <c r="J52" s="25"/>
      <c r="K52" s="25"/>
      <c r="L52" s="25"/>
      <c r="M52" s="25"/>
      <c r="N52" s="25"/>
      <c r="O52" s="25"/>
      <c r="P52" s="25"/>
      <c r="Q52" s="25"/>
      <c r="R52" s="25"/>
      <c r="S52" s="25"/>
      <c r="T52" s="25"/>
    </row>
    <row r="53" spans="1:20" x14ac:dyDescent="0.2">
      <c r="A53" s="25"/>
      <c r="B53" s="25"/>
      <c r="C53" s="25"/>
      <c r="D53" s="25"/>
      <c r="E53" s="25"/>
      <c r="F53" s="25"/>
      <c r="G53" s="25"/>
      <c r="H53" s="25"/>
      <c r="I53" s="25"/>
      <c r="J53" s="25"/>
      <c r="K53" s="25"/>
      <c r="L53" s="25"/>
      <c r="M53" s="25"/>
      <c r="N53" s="25"/>
      <c r="O53" s="25"/>
      <c r="P53" s="25"/>
      <c r="Q53" s="25"/>
      <c r="R53" s="25"/>
      <c r="S53" s="25"/>
      <c r="T53" s="25"/>
    </row>
    <row r="54" spans="1:20" x14ac:dyDescent="0.2">
      <c r="A54" s="25"/>
      <c r="B54" s="25"/>
      <c r="C54" s="25"/>
      <c r="D54" s="25"/>
      <c r="E54" s="25"/>
      <c r="F54" s="25"/>
      <c r="G54" s="25"/>
      <c r="H54" s="25"/>
      <c r="I54" s="25"/>
      <c r="J54" s="25"/>
      <c r="K54" s="25"/>
      <c r="L54" s="25"/>
      <c r="M54" s="25"/>
      <c r="N54" s="25"/>
      <c r="O54" s="25"/>
      <c r="P54" s="25"/>
      <c r="Q54" s="25"/>
      <c r="R54" s="25"/>
      <c r="S54" s="25"/>
      <c r="T54" s="25"/>
    </row>
    <row r="55" spans="1:20" x14ac:dyDescent="0.2">
      <c r="A55" s="25"/>
      <c r="B55" s="25"/>
      <c r="C55" s="25"/>
      <c r="D55" s="25"/>
      <c r="E55" s="25"/>
      <c r="F55" s="25"/>
      <c r="G55" s="25"/>
      <c r="H55" s="25"/>
      <c r="I55" s="25"/>
      <c r="J55" s="25"/>
      <c r="K55" s="25"/>
      <c r="L55" s="25"/>
      <c r="M55" s="25"/>
      <c r="N55" s="25"/>
      <c r="O55" s="25"/>
      <c r="P55" s="25"/>
      <c r="Q55" s="25"/>
      <c r="R55" s="25"/>
      <c r="S55" s="25"/>
      <c r="T55" s="25"/>
    </row>
    <row r="56" spans="1:20" x14ac:dyDescent="0.2">
      <c r="A56" s="25"/>
      <c r="B56" s="25"/>
      <c r="C56" s="25"/>
      <c r="D56" s="25"/>
      <c r="E56" s="25"/>
      <c r="F56" s="25"/>
      <c r="G56" s="25"/>
      <c r="H56" s="25"/>
      <c r="I56" s="25"/>
      <c r="J56" s="25"/>
      <c r="K56" s="25"/>
      <c r="L56" s="25"/>
      <c r="M56" s="25"/>
      <c r="N56" s="25"/>
      <c r="O56" s="25"/>
      <c r="P56" s="25"/>
      <c r="Q56" s="25"/>
      <c r="R56" s="25"/>
      <c r="S56" s="25"/>
      <c r="T56" s="25"/>
    </row>
    <row r="57" spans="1:20" x14ac:dyDescent="0.2">
      <c r="A57" s="25"/>
      <c r="B57" s="25"/>
      <c r="C57" s="25"/>
      <c r="D57" s="25"/>
      <c r="E57" s="25"/>
      <c r="F57" s="25"/>
      <c r="G57" s="25"/>
      <c r="H57" s="25"/>
      <c r="I57" s="25"/>
      <c r="J57" s="25"/>
      <c r="K57" s="25"/>
      <c r="L57" s="25"/>
      <c r="M57" s="25"/>
      <c r="N57" s="25"/>
      <c r="O57" s="25"/>
      <c r="P57" s="25"/>
      <c r="Q57" s="25"/>
      <c r="R57" s="25"/>
      <c r="S57" s="25"/>
      <c r="T57" s="25"/>
    </row>
    <row r="58" spans="1:20" x14ac:dyDescent="0.2">
      <c r="A58" s="25"/>
      <c r="B58" s="25"/>
      <c r="C58" s="25"/>
      <c r="D58" s="25"/>
      <c r="E58" s="25"/>
      <c r="F58" s="25"/>
      <c r="G58" s="25"/>
      <c r="H58" s="25"/>
      <c r="I58" s="25"/>
      <c r="J58" s="25"/>
      <c r="K58" s="25"/>
      <c r="L58" s="25"/>
      <c r="M58" s="25"/>
      <c r="N58" s="25"/>
      <c r="O58" s="25"/>
      <c r="P58" s="25"/>
      <c r="Q58" s="25"/>
      <c r="R58" s="25"/>
      <c r="S58" s="25"/>
      <c r="T58" s="25"/>
    </row>
    <row r="59" spans="1:20" x14ac:dyDescent="0.2">
      <c r="A59" s="25"/>
      <c r="B59" s="25"/>
      <c r="C59" s="25"/>
      <c r="D59" s="25"/>
      <c r="E59" s="25"/>
      <c r="F59" s="25"/>
      <c r="G59" s="25"/>
      <c r="H59" s="25"/>
      <c r="I59" s="25"/>
      <c r="J59" s="25"/>
      <c r="K59" s="25"/>
      <c r="L59" s="25"/>
      <c r="M59" s="25"/>
      <c r="N59" s="25"/>
      <c r="O59" s="25"/>
      <c r="P59" s="25"/>
      <c r="Q59" s="25"/>
      <c r="R59" s="25"/>
      <c r="S59" s="25"/>
      <c r="T59" s="25"/>
    </row>
    <row r="60" spans="1:20" x14ac:dyDescent="0.2">
      <c r="A60" s="25"/>
      <c r="B60" s="25"/>
      <c r="C60" s="25"/>
      <c r="D60" s="25"/>
      <c r="E60" s="25"/>
      <c r="F60" s="25"/>
      <c r="G60" s="25"/>
      <c r="H60" s="25"/>
      <c r="I60" s="25"/>
      <c r="J60" s="25"/>
      <c r="K60" s="25"/>
      <c r="L60" s="25"/>
      <c r="M60" s="25"/>
      <c r="N60" s="25"/>
      <c r="O60" s="25"/>
      <c r="P60" s="25"/>
      <c r="Q60" s="25"/>
      <c r="R60" s="25"/>
      <c r="S60" s="25"/>
      <c r="T60" s="25"/>
    </row>
    <row r="61" spans="1:20" x14ac:dyDescent="0.2">
      <c r="A61" s="25"/>
      <c r="B61" s="25"/>
      <c r="C61" s="25"/>
      <c r="D61" s="25"/>
      <c r="E61" s="25"/>
      <c r="F61" s="25"/>
      <c r="G61" s="25"/>
      <c r="H61" s="25"/>
      <c r="I61" s="25"/>
      <c r="J61" s="25"/>
      <c r="K61" s="25"/>
      <c r="L61" s="25"/>
      <c r="M61" s="25"/>
      <c r="N61" s="25"/>
      <c r="O61" s="25"/>
      <c r="P61" s="25"/>
      <c r="Q61" s="25"/>
      <c r="R61" s="25"/>
      <c r="S61" s="25"/>
      <c r="T61" s="25"/>
    </row>
    <row r="62" spans="1:20" x14ac:dyDescent="0.2">
      <c r="A62" s="25"/>
      <c r="B62" s="25"/>
      <c r="C62" s="25"/>
      <c r="D62" s="25"/>
      <c r="E62" s="25"/>
      <c r="F62" s="25"/>
      <c r="G62" s="25"/>
      <c r="H62" s="25"/>
      <c r="I62" s="25"/>
      <c r="J62" s="25"/>
      <c r="K62" s="25"/>
      <c r="L62" s="25"/>
      <c r="M62" s="25"/>
      <c r="N62" s="25"/>
      <c r="O62" s="25"/>
      <c r="P62" s="25"/>
      <c r="Q62" s="25"/>
      <c r="R62" s="25"/>
      <c r="S62" s="25"/>
      <c r="T62" s="25"/>
    </row>
    <row r="63" spans="1:20" x14ac:dyDescent="0.2">
      <c r="A63" s="25"/>
      <c r="B63" s="25"/>
      <c r="C63" s="25"/>
      <c r="D63" s="25"/>
      <c r="E63" s="25"/>
      <c r="F63" s="25"/>
      <c r="G63" s="25"/>
      <c r="H63" s="25"/>
      <c r="I63" s="25"/>
      <c r="J63" s="25"/>
      <c r="K63" s="25"/>
      <c r="L63" s="25"/>
      <c r="M63" s="25"/>
      <c r="N63" s="25"/>
      <c r="O63" s="25"/>
      <c r="P63" s="25"/>
      <c r="Q63" s="25"/>
      <c r="R63" s="25"/>
      <c r="S63" s="25"/>
      <c r="T63" s="25"/>
    </row>
    <row r="64" spans="1:20" x14ac:dyDescent="0.2">
      <c r="A64" s="25"/>
      <c r="B64" s="25"/>
      <c r="C64" s="25"/>
      <c r="D64" s="25"/>
      <c r="E64" s="25"/>
      <c r="F64" s="25"/>
      <c r="G64" s="25"/>
      <c r="H64" s="25"/>
      <c r="I64" s="25"/>
      <c r="J64" s="25"/>
      <c r="K64" s="25"/>
      <c r="L64" s="25"/>
      <c r="M64" s="25"/>
      <c r="N64" s="25"/>
      <c r="O64" s="25"/>
      <c r="P64" s="25"/>
      <c r="Q64" s="25"/>
      <c r="R64" s="25"/>
      <c r="S64" s="25"/>
      <c r="T64" s="25"/>
    </row>
    <row r="65" spans="1:20" x14ac:dyDescent="0.2">
      <c r="A65" s="25"/>
      <c r="B65" s="25"/>
      <c r="C65" s="25"/>
      <c r="D65" s="25"/>
      <c r="E65" s="25"/>
      <c r="F65" s="25"/>
      <c r="G65" s="25"/>
      <c r="H65" s="25"/>
      <c r="I65" s="25"/>
      <c r="J65" s="25"/>
      <c r="K65" s="25"/>
      <c r="L65" s="25"/>
      <c r="M65" s="25"/>
      <c r="N65" s="25"/>
      <c r="O65" s="25"/>
      <c r="P65" s="25"/>
      <c r="Q65" s="25"/>
      <c r="R65" s="25"/>
      <c r="S65" s="25"/>
      <c r="T65" s="25"/>
    </row>
    <row r="66" spans="1:20" x14ac:dyDescent="0.2">
      <c r="A66" s="25"/>
      <c r="B66" s="25"/>
      <c r="C66" s="25"/>
      <c r="D66" s="25"/>
      <c r="E66" s="25"/>
      <c r="F66" s="25"/>
      <c r="G66" s="25"/>
      <c r="H66" s="25"/>
      <c r="I66" s="25"/>
      <c r="J66" s="25"/>
      <c r="K66" s="25"/>
      <c r="L66" s="25"/>
      <c r="M66" s="25"/>
      <c r="N66" s="25"/>
      <c r="O66" s="25"/>
      <c r="P66" s="25"/>
      <c r="Q66" s="25"/>
      <c r="R66" s="25"/>
      <c r="S66" s="25"/>
      <c r="T66" s="25"/>
    </row>
    <row r="67" spans="1:20" x14ac:dyDescent="0.2">
      <c r="A67" s="25"/>
      <c r="B67" s="25"/>
      <c r="C67" s="25"/>
      <c r="D67" s="25"/>
      <c r="E67" s="25"/>
      <c r="F67" s="25"/>
      <c r="G67" s="25"/>
      <c r="H67" s="25"/>
      <c r="I67" s="25"/>
      <c r="J67" s="25"/>
      <c r="K67" s="25"/>
      <c r="L67" s="25"/>
      <c r="M67" s="25"/>
      <c r="N67" s="25"/>
      <c r="O67" s="25"/>
      <c r="P67" s="25"/>
      <c r="Q67" s="25"/>
      <c r="R67" s="25"/>
      <c r="S67" s="25"/>
      <c r="T67" s="25"/>
    </row>
    <row r="68" spans="1:20" x14ac:dyDescent="0.2">
      <c r="A68" s="25"/>
      <c r="B68" s="25"/>
      <c r="C68" s="25"/>
      <c r="D68" s="25"/>
      <c r="E68" s="25"/>
      <c r="F68" s="25"/>
      <c r="G68" s="25"/>
      <c r="H68" s="25"/>
      <c r="I68" s="25"/>
      <c r="J68" s="25"/>
      <c r="K68" s="25"/>
      <c r="L68" s="25"/>
      <c r="M68" s="25"/>
      <c r="N68" s="25"/>
      <c r="O68" s="25"/>
      <c r="P68" s="25"/>
      <c r="Q68" s="25"/>
      <c r="R68" s="25"/>
      <c r="S68" s="25"/>
      <c r="T68" s="25"/>
    </row>
    <row r="69" spans="1:20" x14ac:dyDescent="0.2">
      <c r="A69" s="25"/>
      <c r="B69" s="25"/>
      <c r="C69" s="25"/>
      <c r="D69" s="25"/>
      <c r="E69" s="25"/>
      <c r="F69" s="25"/>
      <c r="G69" s="25"/>
      <c r="H69" s="25"/>
      <c r="I69" s="25"/>
      <c r="J69" s="25"/>
      <c r="K69" s="25"/>
      <c r="L69" s="25"/>
      <c r="M69" s="25"/>
      <c r="N69" s="25"/>
      <c r="O69" s="25"/>
      <c r="P69" s="25"/>
      <c r="Q69" s="25"/>
      <c r="R69" s="25"/>
      <c r="S69" s="25"/>
      <c r="T69" s="25"/>
    </row>
    <row r="70" spans="1:20" x14ac:dyDescent="0.2">
      <c r="A70" s="25"/>
      <c r="B70" s="25"/>
      <c r="C70" s="25"/>
      <c r="D70" s="25"/>
      <c r="E70" s="25"/>
      <c r="F70" s="25"/>
      <c r="G70" s="25"/>
      <c r="H70" s="25"/>
      <c r="I70" s="25"/>
      <c r="J70" s="25"/>
      <c r="K70" s="25"/>
      <c r="L70" s="25"/>
      <c r="M70" s="25"/>
      <c r="N70" s="25"/>
      <c r="O70" s="25"/>
      <c r="P70" s="25"/>
      <c r="Q70" s="25"/>
      <c r="R70" s="25"/>
      <c r="S70" s="25"/>
      <c r="T70" s="25"/>
    </row>
    <row r="71" spans="1:20" x14ac:dyDescent="0.2">
      <c r="A71" s="25"/>
      <c r="B71" s="25"/>
      <c r="C71" s="25"/>
      <c r="D71" s="25"/>
      <c r="E71" s="25"/>
      <c r="F71" s="25"/>
      <c r="G71" s="25"/>
      <c r="H71" s="25"/>
      <c r="I71" s="25"/>
      <c r="J71" s="25"/>
      <c r="K71" s="25"/>
      <c r="L71" s="25"/>
      <c r="M71" s="25"/>
      <c r="N71" s="25"/>
      <c r="O71" s="25"/>
      <c r="P71" s="25"/>
      <c r="Q71" s="25"/>
      <c r="R71" s="25"/>
      <c r="S71" s="25"/>
      <c r="T71" s="25"/>
    </row>
    <row r="72" spans="1:20" x14ac:dyDescent="0.2">
      <c r="A72" s="35"/>
      <c r="B72" s="25"/>
      <c r="C72" s="25"/>
      <c r="D72" s="25"/>
      <c r="E72" s="25"/>
      <c r="F72" s="25"/>
      <c r="G72" s="25"/>
      <c r="H72" s="25"/>
      <c r="I72" s="25"/>
      <c r="J72" s="25"/>
      <c r="K72" s="25"/>
      <c r="L72" s="25"/>
      <c r="M72" s="25"/>
      <c r="N72" s="25"/>
      <c r="O72" s="25"/>
      <c r="P72" s="25"/>
      <c r="Q72" s="25"/>
      <c r="R72" s="25"/>
      <c r="S72" s="25"/>
      <c r="T72" s="25"/>
    </row>
    <row r="73" spans="1:20" x14ac:dyDescent="0.2">
      <c r="A73" s="25"/>
      <c r="B73" s="25"/>
      <c r="C73" s="25"/>
      <c r="D73" s="25"/>
      <c r="E73" s="25"/>
      <c r="F73" s="25"/>
      <c r="G73" s="25"/>
      <c r="H73" s="25"/>
      <c r="I73" s="25"/>
      <c r="J73" s="25"/>
      <c r="K73" s="25"/>
      <c r="L73" s="25"/>
      <c r="M73" s="25"/>
      <c r="N73" s="25"/>
      <c r="O73" s="25"/>
      <c r="P73" s="25"/>
      <c r="Q73" s="25"/>
      <c r="R73" s="25"/>
      <c r="S73" s="25"/>
      <c r="T73" s="25"/>
    </row>
    <row r="74" spans="1:20" x14ac:dyDescent="0.2">
      <c r="A74" s="25"/>
      <c r="B74" s="25"/>
      <c r="C74" s="25"/>
      <c r="D74" s="25"/>
      <c r="E74" s="25"/>
      <c r="F74" s="25"/>
      <c r="G74" s="25"/>
      <c r="H74" s="25"/>
      <c r="I74" s="25"/>
      <c r="J74" s="25"/>
      <c r="K74" s="25"/>
      <c r="L74" s="25"/>
      <c r="M74" s="25"/>
      <c r="N74" s="25"/>
      <c r="O74" s="25"/>
      <c r="P74" s="25"/>
      <c r="Q74" s="25"/>
      <c r="R74" s="25"/>
      <c r="S74" s="25"/>
      <c r="T74" s="25"/>
    </row>
    <row r="75" spans="1:20" x14ac:dyDescent="0.2">
      <c r="A75" s="25"/>
      <c r="B75" s="25"/>
      <c r="C75" s="25"/>
      <c r="D75" s="25"/>
      <c r="E75" s="25"/>
      <c r="F75" s="25"/>
      <c r="G75" s="25"/>
      <c r="H75" s="25"/>
      <c r="I75" s="25"/>
      <c r="J75" s="25"/>
      <c r="K75" s="25"/>
      <c r="L75" s="25"/>
      <c r="M75" s="25"/>
      <c r="N75" s="25"/>
      <c r="O75" s="25"/>
      <c r="P75" s="25"/>
      <c r="Q75" s="25"/>
      <c r="R75" s="25"/>
      <c r="S75" s="25"/>
      <c r="T75" s="25"/>
    </row>
    <row r="76" spans="1:20" x14ac:dyDescent="0.2">
      <c r="A76" s="25"/>
      <c r="B76" s="25"/>
      <c r="C76" s="25"/>
      <c r="D76" s="25"/>
      <c r="E76" s="25"/>
      <c r="F76" s="25"/>
      <c r="G76" s="25"/>
      <c r="H76" s="25"/>
      <c r="I76" s="25"/>
      <c r="J76" s="25"/>
      <c r="K76" s="25"/>
      <c r="L76" s="25"/>
      <c r="M76" s="25"/>
      <c r="N76" s="25"/>
      <c r="O76" s="25"/>
      <c r="P76" s="25"/>
      <c r="Q76" s="25"/>
      <c r="R76" s="25"/>
      <c r="S76" s="25"/>
      <c r="T76" s="25"/>
    </row>
    <row r="77" spans="1:20" x14ac:dyDescent="0.2">
      <c r="A77" s="25"/>
      <c r="B77" s="25"/>
      <c r="C77" s="25"/>
      <c r="D77" s="25"/>
      <c r="E77" s="25"/>
      <c r="F77" s="25"/>
      <c r="G77" s="25"/>
      <c r="H77" s="25"/>
      <c r="I77" s="25"/>
      <c r="J77" s="25"/>
      <c r="K77" s="25"/>
      <c r="L77" s="25"/>
      <c r="M77" s="25"/>
      <c r="N77" s="25"/>
      <c r="O77" s="25"/>
      <c r="P77" s="25"/>
      <c r="Q77" s="25"/>
      <c r="R77" s="25"/>
      <c r="S77" s="25"/>
      <c r="T77" s="25"/>
    </row>
    <row r="78" spans="1:20" x14ac:dyDescent="0.2">
      <c r="A78" s="25"/>
      <c r="B78" s="25"/>
      <c r="C78" s="25"/>
      <c r="D78" s="25"/>
      <c r="E78" s="25"/>
      <c r="F78" s="25"/>
      <c r="G78" s="25"/>
      <c r="H78" s="25"/>
      <c r="I78" s="25"/>
      <c r="J78" s="25"/>
      <c r="K78" s="25"/>
      <c r="L78" s="25"/>
      <c r="M78" s="25"/>
      <c r="N78" s="25"/>
      <c r="O78" s="25"/>
      <c r="P78" s="25"/>
      <c r="Q78" s="25"/>
      <c r="R78" s="25"/>
      <c r="S78" s="25"/>
      <c r="T78" s="25"/>
    </row>
    <row r="79" spans="1:20" x14ac:dyDescent="0.2">
      <c r="A79" s="25"/>
      <c r="B79" s="25"/>
      <c r="C79" s="25"/>
      <c r="D79" s="25"/>
      <c r="E79" s="25"/>
      <c r="F79" s="25"/>
      <c r="G79" s="25"/>
      <c r="H79" s="25"/>
      <c r="I79" s="25"/>
      <c r="J79" s="25"/>
      <c r="K79" s="25"/>
      <c r="L79" s="25"/>
      <c r="M79" s="25"/>
      <c r="N79" s="25"/>
      <c r="O79" s="25"/>
      <c r="P79" s="25"/>
      <c r="Q79" s="25"/>
      <c r="R79" s="25"/>
      <c r="S79" s="25"/>
      <c r="T79" s="25"/>
    </row>
    <row r="80" spans="1:20" x14ac:dyDescent="0.2">
      <c r="A80" s="25"/>
      <c r="B80" s="25"/>
      <c r="C80" s="25"/>
      <c r="D80" s="25"/>
      <c r="E80" s="754" t="s">
        <v>1358</v>
      </c>
      <c r="F80" s="25"/>
      <c r="G80" s="25"/>
      <c r="H80" s="25"/>
      <c r="I80" s="25"/>
      <c r="J80" s="25"/>
      <c r="K80" s="25"/>
      <c r="L80" s="25"/>
      <c r="M80" s="25"/>
      <c r="N80" s="25"/>
      <c r="O80" s="25"/>
      <c r="P80" s="25"/>
      <c r="Q80" s="25"/>
      <c r="R80" s="25"/>
      <c r="S80" s="25"/>
      <c r="T80" s="25"/>
    </row>
    <row r="81" spans="1:20" x14ac:dyDescent="0.2">
      <c r="A81" s="25"/>
      <c r="B81" s="25"/>
      <c r="C81" s="25"/>
      <c r="D81" s="25"/>
      <c r="E81" s="25"/>
      <c r="F81" s="25"/>
      <c r="G81" s="25"/>
      <c r="H81" s="25"/>
      <c r="I81" s="25"/>
      <c r="J81" s="25"/>
      <c r="K81" s="25"/>
      <c r="L81" s="25"/>
      <c r="M81" s="25"/>
      <c r="N81" s="25"/>
      <c r="O81" s="25"/>
      <c r="P81" s="25"/>
      <c r="Q81" s="25"/>
      <c r="R81" s="25"/>
      <c r="S81" s="25"/>
      <c r="T81" s="25"/>
    </row>
    <row r="82" spans="1:20" x14ac:dyDescent="0.2">
      <c r="A82" s="25"/>
      <c r="B82" s="25"/>
      <c r="C82" s="25"/>
      <c r="D82" s="25"/>
      <c r="E82" s="25"/>
      <c r="F82" s="25"/>
      <c r="G82" s="25"/>
      <c r="H82" s="25"/>
      <c r="I82" s="25"/>
      <c r="J82" s="25"/>
      <c r="K82" s="25"/>
      <c r="L82" s="25"/>
      <c r="M82" s="25"/>
      <c r="N82" s="25"/>
      <c r="O82" s="25"/>
      <c r="P82" s="25"/>
      <c r="Q82" s="25"/>
      <c r="R82" s="25"/>
      <c r="S82" s="25"/>
      <c r="T82" s="25"/>
    </row>
    <row r="83" spans="1:20" x14ac:dyDescent="0.2">
      <c r="A83" s="25"/>
      <c r="B83" s="25"/>
      <c r="C83" s="25"/>
      <c r="D83" s="25"/>
      <c r="E83" s="25"/>
      <c r="F83" s="25"/>
      <c r="G83" s="25"/>
      <c r="H83" s="25"/>
      <c r="I83" s="25"/>
      <c r="J83" s="25"/>
      <c r="K83" s="25"/>
      <c r="L83" s="25"/>
      <c r="M83" s="25"/>
      <c r="N83" s="25"/>
      <c r="O83" s="25"/>
      <c r="P83" s="25"/>
      <c r="Q83" s="25"/>
      <c r="R83" s="25"/>
      <c r="S83" s="25"/>
      <c r="T83" s="25"/>
    </row>
    <row r="84" spans="1:20" x14ac:dyDescent="0.2">
      <c r="A84" s="25"/>
      <c r="B84" s="25"/>
      <c r="C84" s="25"/>
      <c r="D84" s="25"/>
      <c r="E84" s="25"/>
      <c r="F84" s="25"/>
      <c r="G84" s="25"/>
      <c r="H84" s="25"/>
      <c r="I84" s="25"/>
      <c r="J84" s="25"/>
      <c r="K84" s="25"/>
      <c r="L84" s="25"/>
      <c r="M84" s="25"/>
      <c r="N84" s="25"/>
      <c r="O84" s="25"/>
      <c r="P84" s="25"/>
      <c r="Q84" s="25"/>
      <c r="R84" s="25"/>
      <c r="S84" s="25"/>
      <c r="T84" s="25"/>
    </row>
    <row r="85" spans="1:20" x14ac:dyDescent="0.2">
      <c r="A85" s="25"/>
      <c r="B85" s="25"/>
      <c r="C85" s="25"/>
      <c r="D85" s="25"/>
      <c r="E85" s="25"/>
      <c r="F85" s="25"/>
      <c r="G85" s="25"/>
      <c r="H85" s="25"/>
      <c r="I85" s="25"/>
      <c r="J85" s="25"/>
      <c r="K85" s="25"/>
      <c r="L85" s="25"/>
      <c r="M85" s="25"/>
      <c r="N85" s="25"/>
      <c r="O85" s="25"/>
      <c r="P85" s="25"/>
      <c r="Q85" s="25"/>
      <c r="R85" s="25"/>
      <c r="S85" s="25"/>
      <c r="T85" s="25"/>
    </row>
    <row r="86" spans="1:20" x14ac:dyDescent="0.2">
      <c r="A86" s="25"/>
      <c r="B86" s="25"/>
      <c r="C86" s="25"/>
      <c r="D86" s="25"/>
      <c r="E86" s="25"/>
      <c r="F86" s="25"/>
      <c r="G86" s="25"/>
      <c r="H86" s="25"/>
      <c r="I86" s="25"/>
      <c r="J86" s="25"/>
      <c r="K86" s="25"/>
      <c r="L86" s="25"/>
      <c r="M86" s="25"/>
      <c r="N86" s="25"/>
      <c r="O86" s="25"/>
      <c r="P86" s="25"/>
      <c r="Q86" s="25"/>
      <c r="R86" s="25"/>
      <c r="S86" s="25"/>
      <c r="T86" s="25"/>
    </row>
    <row r="87" spans="1:20" x14ac:dyDescent="0.2">
      <c r="A87" s="25"/>
      <c r="B87" s="25"/>
      <c r="C87" s="25"/>
      <c r="D87" s="25"/>
      <c r="E87" s="25"/>
      <c r="F87" s="25"/>
      <c r="G87" s="25"/>
      <c r="H87" s="25"/>
      <c r="I87" s="25"/>
      <c r="J87" s="25"/>
      <c r="K87" s="25"/>
      <c r="L87" s="25"/>
      <c r="M87" s="25"/>
      <c r="N87" s="25"/>
      <c r="O87" s="25"/>
      <c r="P87" s="25"/>
      <c r="Q87" s="25"/>
      <c r="R87" s="25"/>
      <c r="S87" s="25"/>
      <c r="T87" s="25"/>
    </row>
    <row r="88" spans="1:20" x14ac:dyDescent="0.2">
      <c r="A88" s="25"/>
      <c r="B88" s="25"/>
      <c r="C88" s="25"/>
      <c r="D88" s="25"/>
      <c r="E88" s="25"/>
      <c r="F88" s="25"/>
      <c r="G88" s="25"/>
      <c r="H88" s="25"/>
      <c r="I88" s="25"/>
      <c r="J88" s="25"/>
      <c r="K88" s="25"/>
      <c r="L88" s="25"/>
      <c r="M88" s="25"/>
      <c r="N88" s="25"/>
      <c r="O88" s="25"/>
      <c r="P88" s="25"/>
      <c r="Q88" s="25"/>
      <c r="R88" s="25"/>
      <c r="S88" s="25"/>
      <c r="T88" s="25"/>
    </row>
    <row r="89" spans="1:20" x14ac:dyDescent="0.2">
      <c r="A89" s="25"/>
      <c r="B89" s="25"/>
      <c r="C89" s="25"/>
      <c r="D89" s="25"/>
      <c r="E89" s="25"/>
      <c r="F89" s="25"/>
      <c r="G89" s="25"/>
      <c r="H89" s="25"/>
      <c r="I89" s="25"/>
      <c r="J89" s="25"/>
      <c r="K89" s="25"/>
      <c r="L89" s="25"/>
      <c r="M89" s="25"/>
      <c r="N89" s="25"/>
      <c r="O89" s="25"/>
      <c r="P89" s="25"/>
      <c r="Q89" s="25"/>
      <c r="R89" s="25"/>
      <c r="S89" s="25"/>
      <c r="T89" s="25"/>
    </row>
    <row r="90" spans="1:20" x14ac:dyDescent="0.2">
      <c r="A90" s="25"/>
      <c r="B90" s="25"/>
      <c r="C90" s="25"/>
      <c r="D90" s="25"/>
      <c r="E90" s="25"/>
      <c r="F90" s="25"/>
      <c r="G90" s="25"/>
      <c r="H90" s="25"/>
      <c r="I90" s="25"/>
      <c r="J90" s="25"/>
      <c r="K90" s="25"/>
      <c r="L90" s="25"/>
      <c r="M90" s="25"/>
      <c r="N90" s="25"/>
      <c r="O90" s="25"/>
      <c r="P90" s="25"/>
      <c r="Q90" s="25"/>
      <c r="R90" s="25"/>
      <c r="S90" s="25"/>
      <c r="T90" s="25"/>
    </row>
    <row r="91" spans="1:20" x14ac:dyDescent="0.2">
      <c r="A91" s="25"/>
      <c r="B91" s="25"/>
      <c r="C91" s="25"/>
      <c r="D91" s="25"/>
      <c r="E91" s="25"/>
      <c r="F91" s="25"/>
      <c r="G91" s="25"/>
      <c r="H91" s="25"/>
      <c r="I91" s="25"/>
      <c r="J91" s="25"/>
      <c r="K91" s="25"/>
      <c r="L91" s="25"/>
      <c r="M91" s="25"/>
      <c r="N91" s="25"/>
      <c r="O91" s="25"/>
      <c r="P91" s="25"/>
      <c r="Q91" s="25"/>
      <c r="R91" s="25"/>
      <c r="S91" s="25"/>
      <c r="T91" s="25"/>
    </row>
    <row r="92" spans="1:20" x14ac:dyDescent="0.2">
      <c r="A92" s="25"/>
      <c r="B92" s="25"/>
      <c r="C92" s="25"/>
      <c r="D92" s="25"/>
      <c r="E92" s="25"/>
      <c r="F92" s="25"/>
      <c r="G92" s="25"/>
      <c r="H92" s="25"/>
      <c r="I92" s="25"/>
      <c r="J92" s="25"/>
      <c r="K92" s="25"/>
      <c r="L92" s="25"/>
      <c r="M92" s="25"/>
      <c r="N92" s="25"/>
      <c r="O92" s="25"/>
      <c r="P92" s="25"/>
      <c r="Q92" s="25"/>
      <c r="R92" s="25"/>
      <c r="S92" s="25"/>
      <c r="T92" s="25"/>
    </row>
    <row r="93" spans="1:20" x14ac:dyDescent="0.2">
      <c r="A93" s="25"/>
      <c r="B93" s="25"/>
      <c r="C93" s="25"/>
      <c r="D93" s="25"/>
      <c r="E93" s="25"/>
      <c r="F93" s="25"/>
      <c r="G93" s="25"/>
      <c r="H93" s="25"/>
      <c r="I93" s="25"/>
      <c r="J93" s="25"/>
      <c r="K93" s="25"/>
      <c r="L93" s="25"/>
      <c r="M93" s="25"/>
      <c r="N93" s="25"/>
      <c r="O93" s="25"/>
      <c r="P93" s="25"/>
      <c r="Q93" s="25"/>
      <c r="R93" s="25"/>
      <c r="S93" s="25"/>
      <c r="T93" s="25"/>
    </row>
    <row r="94" spans="1:20" x14ac:dyDescent="0.2">
      <c r="A94" s="25"/>
      <c r="B94" s="25"/>
      <c r="C94" s="25"/>
      <c r="D94" s="25"/>
      <c r="E94" s="25"/>
      <c r="F94" s="25"/>
      <c r="G94" s="25"/>
      <c r="H94" s="25"/>
      <c r="I94" s="25"/>
      <c r="J94" s="25"/>
      <c r="K94" s="25"/>
      <c r="L94" s="25"/>
      <c r="M94" s="25"/>
      <c r="N94" s="25"/>
      <c r="O94" s="25"/>
      <c r="P94" s="25"/>
      <c r="Q94" s="25"/>
      <c r="R94" s="25"/>
      <c r="S94" s="25"/>
      <c r="T94" s="25"/>
    </row>
    <row r="95" spans="1:20" x14ac:dyDescent="0.2">
      <c r="A95" s="25"/>
      <c r="B95" s="25"/>
      <c r="C95" s="25"/>
      <c r="D95" s="25"/>
      <c r="E95" s="25"/>
      <c r="F95" s="25"/>
      <c r="G95" s="25"/>
      <c r="H95" s="25"/>
      <c r="I95" s="25"/>
      <c r="J95" s="25"/>
      <c r="K95" s="25"/>
      <c r="L95" s="25"/>
      <c r="M95" s="25"/>
      <c r="N95" s="25"/>
      <c r="O95" s="25"/>
      <c r="P95" s="25"/>
      <c r="Q95" s="25"/>
      <c r="R95" s="25"/>
      <c r="S95" s="25"/>
      <c r="T95" s="25"/>
    </row>
    <row r="96" spans="1:20" x14ac:dyDescent="0.2">
      <c r="A96" s="25"/>
      <c r="B96" s="25"/>
      <c r="C96" s="25"/>
      <c r="D96" s="25"/>
      <c r="E96" s="25"/>
      <c r="F96" s="25"/>
      <c r="G96" s="25"/>
      <c r="H96" s="25"/>
      <c r="I96" s="25"/>
      <c r="J96" s="25"/>
      <c r="K96" s="25"/>
      <c r="L96" s="25"/>
      <c r="M96" s="25"/>
      <c r="N96" s="25"/>
      <c r="O96" s="25"/>
      <c r="P96" s="25"/>
      <c r="Q96" s="25"/>
      <c r="R96" s="25"/>
      <c r="S96" s="25"/>
      <c r="T96" s="25"/>
    </row>
    <row r="97" spans="1:20" x14ac:dyDescent="0.2">
      <c r="A97" s="25"/>
      <c r="B97" s="25"/>
      <c r="C97" s="25"/>
      <c r="D97" s="25"/>
      <c r="E97" s="25"/>
      <c r="F97" s="25"/>
      <c r="G97" s="25"/>
      <c r="H97" s="25"/>
      <c r="I97" s="25"/>
      <c r="J97" s="25"/>
      <c r="K97" s="25"/>
      <c r="L97" s="25"/>
      <c r="M97" s="25"/>
      <c r="N97" s="25"/>
      <c r="O97" s="25"/>
      <c r="P97" s="25"/>
      <c r="Q97" s="25"/>
      <c r="R97" s="25"/>
      <c r="S97" s="25"/>
      <c r="T97" s="25"/>
    </row>
    <row r="98" spans="1:20" x14ac:dyDescent="0.2">
      <c r="A98" s="25"/>
      <c r="B98" s="25"/>
      <c r="C98" s="25"/>
      <c r="D98" s="25"/>
      <c r="E98" s="25"/>
      <c r="F98" s="25"/>
      <c r="G98" s="25"/>
      <c r="H98" s="25"/>
      <c r="I98" s="25"/>
      <c r="J98" s="25"/>
      <c r="K98" s="25"/>
      <c r="L98" s="25"/>
      <c r="M98" s="25"/>
      <c r="N98" s="25"/>
      <c r="O98" s="25"/>
      <c r="P98" s="25"/>
      <c r="Q98" s="25"/>
      <c r="R98" s="25"/>
      <c r="S98" s="25"/>
      <c r="T98" s="25"/>
    </row>
    <row r="99" spans="1:20" x14ac:dyDescent="0.2">
      <c r="A99" s="25"/>
      <c r="B99" s="25"/>
      <c r="C99" s="25"/>
      <c r="D99" s="25"/>
      <c r="E99" s="25"/>
      <c r="F99" s="25"/>
      <c r="G99" s="25"/>
      <c r="H99" s="25"/>
      <c r="I99" s="25"/>
      <c r="J99" s="25"/>
      <c r="K99" s="25"/>
      <c r="L99" s="25"/>
      <c r="M99" s="25"/>
      <c r="N99" s="25"/>
      <c r="O99" s="25"/>
      <c r="P99" s="25"/>
      <c r="Q99" s="25"/>
      <c r="R99" s="25"/>
      <c r="S99" s="25"/>
      <c r="T99" s="25"/>
    </row>
    <row r="100" spans="1:20" x14ac:dyDescent="0.2">
      <c r="A100" s="25"/>
      <c r="B100" s="25"/>
      <c r="C100" s="25"/>
      <c r="D100" s="25"/>
      <c r="E100" s="25"/>
      <c r="F100" s="25"/>
      <c r="G100" s="25"/>
      <c r="H100" s="25"/>
      <c r="I100" s="25"/>
      <c r="J100" s="25"/>
      <c r="K100" s="25"/>
      <c r="L100" s="35"/>
      <c r="M100" s="25"/>
      <c r="N100" s="25"/>
      <c r="O100" s="25"/>
      <c r="P100" s="25"/>
      <c r="Q100" s="25"/>
      <c r="R100" s="25"/>
      <c r="S100" s="25"/>
      <c r="T100" s="25"/>
    </row>
    <row r="101" spans="1:20" x14ac:dyDescent="0.2">
      <c r="A101" s="25"/>
      <c r="B101" s="25"/>
      <c r="C101" s="25"/>
      <c r="D101" s="25"/>
      <c r="E101" s="25"/>
      <c r="F101" s="25"/>
      <c r="G101" s="25"/>
      <c r="H101" s="25"/>
      <c r="I101" s="25"/>
      <c r="J101" s="25"/>
      <c r="K101" s="25"/>
      <c r="L101" s="25"/>
      <c r="M101" s="25"/>
      <c r="N101" s="25"/>
      <c r="O101" s="25"/>
      <c r="P101" s="25"/>
      <c r="Q101" s="25"/>
      <c r="R101" s="25"/>
      <c r="S101" s="25"/>
      <c r="T101" s="25"/>
    </row>
    <row r="102" spans="1:20" x14ac:dyDescent="0.2">
      <c r="A102" s="25"/>
      <c r="B102" s="25"/>
      <c r="C102" s="25"/>
      <c r="D102" s="25"/>
      <c r="E102" s="25"/>
      <c r="F102" s="25"/>
      <c r="G102" s="25"/>
      <c r="H102" s="25"/>
      <c r="I102" s="25"/>
      <c r="J102" s="25"/>
      <c r="K102" s="25"/>
      <c r="L102" s="25"/>
      <c r="M102" s="25"/>
      <c r="N102" s="25"/>
      <c r="O102" s="25"/>
      <c r="P102" s="25"/>
      <c r="Q102" s="25"/>
      <c r="R102" s="25"/>
      <c r="S102" s="25"/>
      <c r="T102" s="25"/>
    </row>
    <row r="103" spans="1:20" x14ac:dyDescent="0.2">
      <c r="A103" s="25"/>
      <c r="B103" s="25"/>
      <c r="C103" s="25"/>
      <c r="D103" s="25"/>
      <c r="E103" s="25"/>
      <c r="F103" s="25"/>
      <c r="G103" s="25"/>
      <c r="H103" s="25"/>
      <c r="I103" s="25"/>
      <c r="J103" s="25"/>
      <c r="K103" s="25"/>
      <c r="L103" s="25"/>
      <c r="M103" s="25"/>
      <c r="N103" s="25"/>
      <c r="O103" s="25"/>
      <c r="P103" s="25"/>
      <c r="Q103" s="25"/>
      <c r="R103" s="25"/>
      <c r="S103" s="25"/>
      <c r="T103" s="25"/>
    </row>
    <row r="104" spans="1:20" x14ac:dyDescent="0.2">
      <c r="A104" s="25"/>
      <c r="B104" s="25"/>
      <c r="C104" s="25"/>
      <c r="D104" s="25"/>
      <c r="E104" s="25"/>
      <c r="F104" s="25"/>
      <c r="G104" s="25"/>
      <c r="H104" s="25"/>
      <c r="I104" s="25"/>
      <c r="J104" s="25"/>
      <c r="K104" s="25"/>
      <c r="L104" s="25"/>
      <c r="M104" s="25"/>
      <c r="N104" s="25"/>
      <c r="O104" s="25"/>
      <c r="P104" s="25"/>
      <c r="Q104" s="25"/>
      <c r="R104" s="25"/>
      <c r="S104" s="25"/>
      <c r="T104" s="25"/>
    </row>
    <row r="105" spans="1:20" x14ac:dyDescent="0.2">
      <c r="A105" s="25"/>
      <c r="B105" s="25"/>
      <c r="C105" s="25"/>
      <c r="D105" s="25"/>
      <c r="E105" s="25"/>
      <c r="F105" s="25"/>
      <c r="G105" s="25"/>
      <c r="H105" s="25"/>
      <c r="I105" s="25"/>
      <c r="J105" s="25"/>
      <c r="K105" s="25"/>
      <c r="L105" s="25"/>
      <c r="M105" s="25"/>
      <c r="N105" s="25"/>
      <c r="O105" s="25"/>
      <c r="P105" s="25"/>
      <c r="Q105" s="25"/>
      <c r="R105" s="25"/>
      <c r="S105" s="25"/>
      <c r="T105" s="25"/>
    </row>
    <row r="106" spans="1:20" x14ac:dyDescent="0.2">
      <c r="A106" s="25"/>
      <c r="B106" s="25"/>
      <c r="C106" s="25"/>
      <c r="D106" s="25"/>
      <c r="E106" s="25"/>
      <c r="F106" s="25"/>
      <c r="G106" s="25"/>
      <c r="H106" s="25"/>
      <c r="I106" s="25"/>
      <c r="J106" s="25"/>
      <c r="K106" s="25"/>
      <c r="L106" s="25"/>
      <c r="M106" s="25"/>
      <c r="N106" s="25"/>
      <c r="O106" s="25"/>
      <c r="P106" s="25"/>
      <c r="Q106" s="25"/>
      <c r="R106" s="25"/>
      <c r="S106" s="25"/>
      <c r="T106" s="25"/>
    </row>
    <row r="107" spans="1:20" x14ac:dyDescent="0.2">
      <c r="A107" s="25"/>
      <c r="B107" s="25"/>
      <c r="C107" s="25"/>
      <c r="D107" s="25"/>
      <c r="E107" s="25"/>
      <c r="F107" s="25"/>
      <c r="G107" s="25"/>
      <c r="H107" s="25"/>
      <c r="I107" s="25"/>
      <c r="J107" s="25"/>
      <c r="K107" s="25"/>
      <c r="L107" s="25"/>
      <c r="M107" s="25"/>
      <c r="N107" s="25"/>
      <c r="O107" s="25"/>
      <c r="P107" s="25"/>
      <c r="Q107" s="25"/>
      <c r="R107" s="25"/>
      <c r="S107" s="25"/>
      <c r="T107" s="25"/>
    </row>
    <row r="108" spans="1:20" x14ac:dyDescent="0.2">
      <c r="A108" s="25"/>
      <c r="B108" s="25"/>
      <c r="C108" s="25"/>
      <c r="D108" s="25"/>
      <c r="E108" s="25"/>
      <c r="F108" s="25"/>
      <c r="G108" s="25"/>
      <c r="H108" s="25"/>
      <c r="I108" s="25"/>
      <c r="J108" s="25"/>
      <c r="K108" s="25"/>
      <c r="L108" s="25"/>
      <c r="M108" s="25"/>
      <c r="N108" s="25"/>
      <c r="O108" s="25"/>
      <c r="P108" s="25"/>
      <c r="Q108" s="25"/>
      <c r="R108" s="25"/>
      <c r="S108" s="25"/>
      <c r="T108" s="25"/>
    </row>
    <row r="109" spans="1:20" x14ac:dyDescent="0.2">
      <c r="A109" s="25"/>
      <c r="B109" s="25"/>
      <c r="C109" s="25"/>
      <c r="D109" s="25"/>
      <c r="E109" s="25"/>
      <c r="F109" s="25"/>
      <c r="G109" s="25"/>
      <c r="H109" s="25"/>
      <c r="I109" s="25"/>
      <c r="J109" s="25"/>
      <c r="K109" s="25"/>
      <c r="L109" s="25"/>
      <c r="M109" s="25"/>
      <c r="N109" s="25"/>
      <c r="O109" s="25"/>
      <c r="P109" s="25"/>
      <c r="Q109" s="25"/>
      <c r="R109" s="25"/>
      <c r="S109" s="25"/>
      <c r="T109" s="25"/>
    </row>
    <row r="110" spans="1:20" x14ac:dyDescent="0.2">
      <c r="A110" s="25"/>
      <c r="B110" s="25"/>
      <c r="C110" s="25"/>
      <c r="D110" s="25"/>
      <c r="E110" s="25"/>
      <c r="F110" s="25"/>
      <c r="G110" s="25"/>
      <c r="H110" s="25"/>
      <c r="I110" s="25"/>
      <c r="J110" s="25"/>
      <c r="K110" s="25"/>
      <c r="L110" s="25"/>
      <c r="M110" s="25"/>
      <c r="N110" s="25"/>
      <c r="O110" s="25"/>
      <c r="P110" s="25"/>
      <c r="Q110" s="25"/>
      <c r="R110" s="25"/>
      <c r="S110" s="25"/>
      <c r="T110" s="25"/>
    </row>
    <row r="111" spans="1:20" x14ac:dyDescent="0.2">
      <c r="A111" s="25"/>
      <c r="B111" s="25"/>
      <c r="C111" s="25"/>
      <c r="D111" s="25"/>
      <c r="E111" s="25"/>
      <c r="F111" s="25"/>
      <c r="G111" s="25"/>
      <c r="H111" s="25"/>
      <c r="I111" s="25"/>
      <c r="J111" s="25"/>
      <c r="K111" s="25"/>
      <c r="L111" s="25"/>
      <c r="M111" s="25"/>
      <c r="N111" s="25"/>
      <c r="O111" s="25"/>
      <c r="P111" s="25"/>
      <c r="Q111" s="25"/>
      <c r="R111" s="25"/>
      <c r="S111" s="25"/>
      <c r="T111" s="25"/>
    </row>
    <row r="112" spans="1:20" x14ac:dyDescent="0.2">
      <c r="A112" s="25"/>
      <c r="B112" s="25"/>
      <c r="C112" s="25"/>
      <c r="D112" s="25"/>
      <c r="E112" s="25"/>
      <c r="F112" s="25"/>
      <c r="G112" s="25"/>
      <c r="H112" s="25"/>
      <c r="I112" s="25"/>
      <c r="J112" s="25"/>
      <c r="K112" s="25"/>
      <c r="L112" s="25"/>
      <c r="M112" s="25"/>
      <c r="N112" s="25"/>
      <c r="O112" s="25"/>
      <c r="P112" s="25"/>
      <c r="Q112" s="25"/>
      <c r="R112" s="25"/>
      <c r="S112" s="25"/>
      <c r="T112" s="25"/>
    </row>
    <row r="113" spans="1:20" x14ac:dyDescent="0.2">
      <c r="A113" s="25"/>
      <c r="B113" s="25"/>
      <c r="C113" s="25"/>
      <c r="D113" s="25"/>
      <c r="E113" s="25"/>
      <c r="F113" s="25"/>
      <c r="G113" s="25"/>
      <c r="H113" s="25"/>
      <c r="I113" s="25"/>
      <c r="J113" s="25"/>
      <c r="K113" s="25"/>
      <c r="L113" s="25"/>
      <c r="M113" s="25"/>
      <c r="N113" s="25"/>
      <c r="O113" s="25"/>
      <c r="P113" s="25"/>
      <c r="Q113" s="25"/>
      <c r="R113" s="25"/>
      <c r="S113" s="25"/>
      <c r="T113" s="25"/>
    </row>
    <row r="114" spans="1:20" x14ac:dyDescent="0.2">
      <c r="A114" s="25"/>
      <c r="B114" s="25"/>
      <c r="C114" s="25"/>
      <c r="D114" s="25"/>
      <c r="E114" s="25"/>
      <c r="F114" s="25"/>
      <c r="G114" s="25"/>
      <c r="H114" s="25"/>
      <c r="I114" s="25"/>
      <c r="J114" s="25"/>
      <c r="K114" s="25"/>
      <c r="L114" s="25"/>
      <c r="M114" s="25"/>
      <c r="N114" s="25"/>
      <c r="O114" s="25"/>
      <c r="P114" s="25"/>
      <c r="Q114" s="25"/>
      <c r="R114" s="25"/>
      <c r="S114" s="25"/>
      <c r="T114" s="25"/>
    </row>
    <row r="115" spans="1:20" x14ac:dyDescent="0.2">
      <c r="A115" s="25"/>
      <c r="B115" s="25"/>
      <c r="C115" s="25"/>
      <c r="D115" s="25"/>
      <c r="E115" s="25"/>
      <c r="F115" s="25"/>
      <c r="G115" s="25"/>
      <c r="H115" s="25"/>
      <c r="I115" s="25"/>
      <c r="J115" s="25"/>
      <c r="K115" s="25"/>
      <c r="L115" s="25"/>
      <c r="M115" s="25"/>
      <c r="N115" s="25"/>
      <c r="O115" s="25"/>
      <c r="P115" s="25"/>
      <c r="Q115" s="25"/>
      <c r="R115" s="25"/>
      <c r="S115" s="25"/>
      <c r="T115" s="25"/>
    </row>
    <row r="116" spans="1:20" x14ac:dyDescent="0.2">
      <c r="A116" s="25"/>
      <c r="B116" s="25"/>
      <c r="C116" s="25"/>
      <c r="D116" s="25"/>
      <c r="E116" s="25"/>
      <c r="F116" s="25"/>
      <c r="G116" s="25"/>
      <c r="H116" s="25"/>
      <c r="I116" s="25"/>
      <c r="J116" s="25"/>
      <c r="K116" s="25"/>
      <c r="L116" s="25"/>
      <c r="M116" s="25"/>
      <c r="N116" s="25"/>
      <c r="O116" s="25"/>
      <c r="P116" s="25"/>
      <c r="Q116" s="25"/>
      <c r="R116" s="25"/>
      <c r="S116" s="25"/>
      <c r="T116" s="25"/>
    </row>
    <row r="117" spans="1:20" x14ac:dyDescent="0.2">
      <c r="A117" s="25"/>
      <c r="B117" s="25"/>
      <c r="C117" s="25"/>
      <c r="D117" s="25"/>
      <c r="E117" s="25"/>
      <c r="F117" s="25"/>
      <c r="G117" s="25"/>
      <c r="H117" s="25"/>
      <c r="I117" s="25"/>
      <c r="J117" s="25"/>
      <c r="K117" s="25"/>
      <c r="L117" s="25"/>
      <c r="M117" s="25"/>
      <c r="N117" s="25"/>
      <c r="O117" s="25"/>
      <c r="P117" s="25"/>
      <c r="Q117" s="25"/>
      <c r="R117" s="25"/>
      <c r="S117" s="25"/>
      <c r="T117" s="25"/>
    </row>
    <row r="118" spans="1:20" x14ac:dyDescent="0.2">
      <c r="A118" s="25"/>
      <c r="B118" s="25"/>
      <c r="C118" s="25"/>
      <c r="D118" s="25"/>
      <c r="E118" s="25"/>
      <c r="F118" s="25"/>
      <c r="G118" s="25"/>
      <c r="H118" s="25"/>
      <c r="I118" s="25"/>
      <c r="J118" s="25"/>
      <c r="K118" s="25"/>
      <c r="L118" s="25"/>
      <c r="M118" s="25"/>
      <c r="N118" s="25"/>
      <c r="O118" s="25"/>
      <c r="P118" s="25"/>
      <c r="Q118" s="25"/>
      <c r="R118" s="25"/>
      <c r="S118" s="25"/>
      <c r="T118" s="25"/>
    </row>
    <row r="119" spans="1:20" x14ac:dyDescent="0.2">
      <c r="A119" s="25"/>
      <c r="B119" s="25"/>
      <c r="C119" s="25"/>
      <c r="D119" s="25"/>
      <c r="E119" s="25"/>
      <c r="F119" s="25"/>
      <c r="G119" s="25"/>
      <c r="H119" s="25"/>
      <c r="I119" s="25"/>
      <c r="J119" s="25"/>
      <c r="K119" s="25"/>
      <c r="L119" s="25"/>
      <c r="M119" s="25"/>
      <c r="N119" s="25"/>
      <c r="O119" s="25"/>
      <c r="P119" s="25"/>
      <c r="Q119" s="25"/>
      <c r="R119" s="25"/>
      <c r="S119" s="25"/>
      <c r="T119" s="25"/>
    </row>
    <row r="120" spans="1:20" x14ac:dyDescent="0.2">
      <c r="A120" s="25"/>
      <c r="B120" s="25"/>
      <c r="C120" s="25"/>
      <c r="D120" s="25"/>
      <c r="E120" s="25"/>
      <c r="F120" s="25"/>
      <c r="G120" s="25"/>
      <c r="H120" s="25"/>
      <c r="I120" s="25"/>
      <c r="J120" s="25"/>
      <c r="K120" s="25"/>
      <c r="L120" s="25"/>
      <c r="M120" s="25"/>
      <c r="N120" s="25"/>
      <c r="O120" s="25"/>
      <c r="P120" s="25"/>
      <c r="Q120" s="25"/>
      <c r="R120" s="25"/>
      <c r="S120" s="25"/>
      <c r="T120" s="25"/>
    </row>
    <row r="121" spans="1:20" x14ac:dyDescent="0.2">
      <c r="A121" s="25"/>
      <c r="B121" s="25"/>
      <c r="C121" s="25"/>
      <c r="D121" s="25"/>
      <c r="E121" s="25"/>
      <c r="F121" s="25"/>
      <c r="G121" s="25"/>
      <c r="H121" s="25"/>
      <c r="I121" s="25"/>
      <c r="J121" s="25"/>
      <c r="K121" s="25"/>
      <c r="L121" s="25"/>
      <c r="M121" s="25"/>
      <c r="N121" s="25"/>
      <c r="O121" s="25"/>
      <c r="P121" s="25"/>
      <c r="Q121" s="25"/>
      <c r="R121" s="25"/>
      <c r="S121" s="25"/>
      <c r="T121" s="25"/>
    </row>
    <row r="122" spans="1:20" x14ac:dyDescent="0.2">
      <c r="A122" s="25"/>
      <c r="B122" s="25"/>
      <c r="C122" s="25"/>
      <c r="D122" s="25"/>
      <c r="E122" s="25"/>
      <c r="F122" s="25"/>
      <c r="G122" s="25"/>
      <c r="H122" s="25"/>
      <c r="I122" s="25"/>
      <c r="J122" s="25"/>
      <c r="K122" s="25"/>
      <c r="L122" s="25"/>
      <c r="M122" s="25"/>
      <c r="N122" s="25"/>
      <c r="O122" s="25"/>
      <c r="P122" s="25"/>
      <c r="Q122" s="25"/>
      <c r="R122" s="25"/>
      <c r="S122" s="25"/>
      <c r="T122" s="25"/>
    </row>
    <row r="123" spans="1:20" x14ac:dyDescent="0.2">
      <c r="A123" s="25"/>
      <c r="B123" s="25"/>
      <c r="C123" s="25"/>
      <c r="D123" s="25"/>
      <c r="E123" s="25"/>
      <c r="F123" s="25"/>
      <c r="G123" s="25"/>
      <c r="H123" s="25"/>
      <c r="I123" s="25"/>
      <c r="J123" s="25"/>
      <c r="K123" s="25"/>
      <c r="L123" s="25"/>
      <c r="M123" s="25"/>
      <c r="N123" s="25"/>
      <c r="O123" s="25"/>
      <c r="P123" s="25"/>
      <c r="Q123" s="25"/>
      <c r="R123" s="25"/>
      <c r="S123" s="25"/>
      <c r="T123" s="25"/>
    </row>
    <row r="124" spans="1:20" x14ac:dyDescent="0.2">
      <c r="A124" s="25"/>
      <c r="B124" s="25"/>
      <c r="C124" s="25"/>
      <c r="D124" s="25"/>
      <c r="E124" s="25"/>
      <c r="F124" s="25"/>
      <c r="G124" s="25"/>
      <c r="H124" s="25"/>
      <c r="I124" s="25"/>
      <c r="J124" s="25"/>
      <c r="K124" s="25"/>
      <c r="L124" s="25"/>
      <c r="M124" s="25"/>
      <c r="N124" s="25"/>
      <c r="O124" s="25"/>
      <c r="P124" s="25"/>
      <c r="Q124" s="25"/>
      <c r="R124" s="25"/>
      <c r="S124" s="25"/>
      <c r="T124" s="25"/>
    </row>
    <row r="125" spans="1:20" x14ac:dyDescent="0.2">
      <c r="A125" s="25"/>
      <c r="B125" s="25"/>
      <c r="C125" s="25"/>
      <c r="D125" s="25"/>
      <c r="E125" s="25"/>
      <c r="F125" s="25"/>
      <c r="G125" s="25"/>
      <c r="H125" s="25"/>
      <c r="I125" s="25"/>
      <c r="J125" s="25"/>
      <c r="K125" s="25"/>
      <c r="L125" s="25"/>
      <c r="M125" s="25"/>
      <c r="N125" s="25"/>
      <c r="O125" s="25"/>
      <c r="P125" s="25"/>
      <c r="Q125" s="25"/>
      <c r="R125" s="25"/>
      <c r="S125" s="25"/>
      <c r="T125" s="25"/>
    </row>
    <row r="126" spans="1:20" x14ac:dyDescent="0.2">
      <c r="A126" s="25"/>
      <c r="B126" s="25"/>
      <c r="C126" s="25"/>
      <c r="D126" s="25"/>
      <c r="E126" s="25"/>
      <c r="F126" s="25"/>
      <c r="G126" s="25"/>
      <c r="H126" s="25"/>
      <c r="I126" s="25"/>
      <c r="J126" s="25"/>
      <c r="K126" s="25"/>
      <c r="L126" s="25"/>
      <c r="M126" s="25"/>
      <c r="N126" s="25"/>
      <c r="O126" s="25"/>
      <c r="P126" s="25"/>
      <c r="Q126" s="25"/>
      <c r="R126" s="25"/>
      <c r="S126" s="25"/>
      <c r="T126" s="25"/>
    </row>
    <row r="127" spans="1:20" x14ac:dyDescent="0.2">
      <c r="A127" s="25"/>
      <c r="B127" s="25"/>
      <c r="C127" s="25"/>
      <c r="D127" s="25"/>
      <c r="E127" s="25"/>
      <c r="F127" s="25"/>
      <c r="G127" s="25"/>
      <c r="H127" s="25"/>
      <c r="I127" s="25"/>
      <c r="J127" s="25"/>
      <c r="K127" s="25"/>
      <c r="L127" s="25"/>
      <c r="M127" s="25"/>
      <c r="N127" s="25"/>
      <c r="O127" s="25"/>
      <c r="P127" s="25"/>
      <c r="Q127" s="25"/>
      <c r="R127" s="25"/>
      <c r="S127" s="25"/>
      <c r="T127" s="25"/>
    </row>
    <row r="128" spans="1:20" x14ac:dyDescent="0.2">
      <c r="A128" s="25"/>
      <c r="B128" s="25"/>
      <c r="C128" s="25"/>
      <c r="D128" s="25"/>
      <c r="E128" s="25"/>
      <c r="F128" s="25"/>
      <c r="G128" s="25"/>
      <c r="H128" s="25"/>
      <c r="I128" s="25"/>
      <c r="J128" s="25"/>
      <c r="K128" s="25"/>
      <c r="L128" s="25"/>
      <c r="M128" s="25"/>
      <c r="N128" s="25"/>
      <c r="O128" s="25"/>
      <c r="P128" s="25"/>
      <c r="Q128" s="25"/>
      <c r="R128" s="25"/>
      <c r="S128" s="25"/>
      <c r="T128" s="25"/>
    </row>
    <row r="129" spans="1:20" x14ac:dyDescent="0.2">
      <c r="A129" s="25"/>
      <c r="B129" s="25"/>
      <c r="C129" s="25"/>
      <c r="D129" s="25"/>
      <c r="E129" s="25"/>
      <c r="F129" s="25"/>
      <c r="G129" s="25"/>
      <c r="H129" s="25"/>
      <c r="I129" s="25"/>
      <c r="J129" s="25"/>
      <c r="K129" s="25"/>
      <c r="L129" s="25"/>
      <c r="M129" s="25"/>
      <c r="N129" s="25"/>
      <c r="O129" s="25"/>
      <c r="P129" s="25"/>
      <c r="Q129" s="25"/>
      <c r="R129" s="25"/>
      <c r="S129" s="25"/>
      <c r="T129" s="25"/>
    </row>
    <row r="130" spans="1:20" x14ac:dyDescent="0.2">
      <c r="A130" s="25"/>
      <c r="B130" s="25"/>
      <c r="C130" s="25"/>
      <c r="D130" s="25"/>
      <c r="E130" s="25"/>
      <c r="F130" s="25"/>
      <c r="G130" s="25"/>
      <c r="H130" s="25"/>
      <c r="I130" s="25"/>
      <c r="J130" s="25"/>
      <c r="K130" s="25"/>
      <c r="L130" s="25"/>
      <c r="M130" s="25"/>
      <c r="N130" s="25"/>
      <c r="O130" s="25"/>
      <c r="P130" s="25"/>
      <c r="Q130" s="25"/>
      <c r="R130" s="25"/>
      <c r="S130" s="25"/>
      <c r="T130" s="25"/>
    </row>
    <row r="131" spans="1:20" x14ac:dyDescent="0.2">
      <c r="A131" s="25"/>
      <c r="B131" s="25"/>
      <c r="C131" s="25"/>
      <c r="D131" s="25"/>
      <c r="E131" s="25"/>
      <c r="F131" s="25"/>
      <c r="G131" s="25"/>
      <c r="H131" s="25"/>
      <c r="I131" s="25"/>
      <c r="J131" s="25"/>
      <c r="K131" s="25"/>
      <c r="L131" s="25"/>
      <c r="M131" s="25"/>
      <c r="N131" s="25"/>
      <c r="O131" s="25"/>
      <c r="P131" s="25"/>
      <c r="Q131" s="25"/>
      <c r="R131" s="25"/>
      <c r="S131" s="25"/>
      <c r="T131" s="25"/>
    </row>
    <row r="132" spans="1:20" x14ac:dyDescent="0.2">
      <c r="A132" s="25"/>
      <c r="B132" s="25"/>
      <c r="C132" s="25"/>
      <c r="D132" s="25"/>
      <c r="E132" s="25"/>
      <c r="F132" s="25"/>
      <c r="G132" s="25"/>
      <c r="H132" s="25"/>
      <c r="I132" s="25"/>
      <c r="J132" s="25"/>
      <c r="K132" s="25"/>
      <c r="L132" s="25"/>
      <c r="M132" s="25"/>
      <c r="N132" s="25"/>
      <c r="O132" s="25"/>
      <c r="P132" s="25"/>
      <c r="Q132" s="25"/>
      <c r="R132" s="25"/>
      <c r="S132" s="25"/>
      <c r="T132" s="25"/>
    </row>
    <row r="133" spans="1:20" x14ac:dyDescent="0.2">
      <c r="A133" s="25"/>
      <c r="B133" s="25"/>
      <c r="C133" s="25"/>
      <c r="D133" s="25"/>
      <c r="E133" s="25"/>
      <c r="F133" s="25"/>
      <c r="G133" s="25"/>
      <c r="H133" s="25"/>
      <c r="I133" s="25"/>
      <c r="J133" s="25"/>
      <c r="K133" s="25"/>
      <c r="L133" s="25"/>
      <c r="M133" s="25"/>
      <c r="N133" s="25"/>
      <c r="O133" s="25"/>
      <c r="P133" s="25"/>
      <c r="Q133" s="25"/>
      <c r="R133" s="25"/>
      <c r="S133" s="25"/>
      <c r="T133" s="25"/>
    </row>
    <row r="134" spans="1:20" x14ac:dyDescent="0.2">
      <c r="A134" s="25"/>
      <c r="B134" s="25"/>
      <c r="C134" s="25"/>
      <c r="D134" s="25"/>
      <c r="E134" s="25"/>
      <c r="F134" s="25"/>
      <c r="G134" s="25"/>
      <c r="H134" s="25"/>
      <c r="I134" s="25"/>
      <c r="J134" s="25"/>
      <c r="K134" s="25"/>
      <c r="L134" s="25"/>
      <c r="M134" s="25"/>
      <c r="N134" s="25"/>
      <c r="O134" s="25"/>
      <c r="P134" s="25"/>
      <c r="Q134" s="25"/>
      <c r="R134" s="25"/>
      <c r="S134" s="25"/>
      <c r="T134" s="25"/>
    </row>
    <row r="135" spans="1:20" x14ac:dyDescent="0.2">
      <c r="A135" s="25"/>
      <c r="B135" s="25"/>
      <c r="C135" s="25"/>
      <c r="D135" s="25"/>
      <c r="E135" s="25"/>
      <c r="F135" s="25"/>
      <c r="G135" s="25"/>
      <c r="H135" s="25"/>
      <c r="I135" s="25"/>
      <c r="J135" s="25"/>
      <c r="K135" s="25"/>
      <c r="L135" s="25"/>
      <c r="M135" s="25"/>
      <c r="N135" s="25"/>
      <c r="O135" s="25"/>
      <c r="P135" s="25"/>
      <c r="Q135" s="25"/>
      <c r="R135" s="25"/>
      <c r="S135" s="25"/>
      <c r="T135" s="25"/>
    </row>
    <row r="136" spans="1:20" x14ac:dyDescent="0.2">
      <c r="A136" s="25"/>
      <c r="B136" s="25"/>
      <c r="C136" s="25"/>
      <c r="D136" s="25"/>
      <c r="E136" s="25"/>
      <c r="F136" s="25"/>
      <c r="G136" s="25"/>
      <c r="H136" s="25"/>
      <c r="I136" s="25"/>
      <c r="J136" s="25"/>
      <c r="K136" s="25"/>
      <c r="L136" s="25"/>
      <c r="M136" s="25"/>
      <c r="N136" s="25"/>
      <c r="O136" s="25"/>
      <c r="P136" s="25"/>
      <c r="Q136" s="25"/>
      <c r="R136" s="25"/>
      <c r="S136" s="25"/>
      <c r="T136" s="25"/>
    </row>
    <row r="137" spans="1:20" x14ac:dyDescent="0.2">
      <c r="A137" s="25"/>
      <c r="B137" s="25"/>
      <c r="C137" s="25"/>
      <c r="D137" s="25"/>
      <c r="E137" s="25"/>
      <c r="F137" s="725" t="s">
        <v>1358</v>
      </c>
      <c r="G137" s="25"/>
      <c r="H137" s="25"/>
      <c r="I137" s="25"/>
      <c r="J137" s="25"/>
      <c r="K137" s="25"/>
      <c r="L137" s="25"/>
      <c r="M137" s="25"/>
      <c r="N137" s="25"/>
      <c r="O137" s="25"/>
      <c r="P137" s="25"/>
      <c r="Q137" s="25"/>
      <c r="R137" s="25"/>
      <c r="S137" s="25"/>
      <c r="T137" s="25"/>
    </row>
    <row r="138" spans="1:20" x14ac:dyDescent="0.2">
      <c r="A138" s="25"/>
      <c r="B138" s="25"/>
      <c r="C138" s="25"/>
      <c r="D138" s="25"/>
      <c r="E138" s="25"/>
      <c r="F138" s="25"/>
      <c r="G138" s="25"/>
      <c r="H138" s="25"/>
      <c r="I138" s="25"/>
      <c r="J138" s="25"/>
      <c r="K138" s="25"/>
      <c r="L138" s="25"/>
      <c r="M138" s="25"/>
      <c r="N138" s="25"/>
      <c r="O138" s="25"/>
      <c r="P138" s="25"/>
      <c r="Q138" s="25"/>
      <c r="R138" s="25"/>
      <c r="S138" s="25"/>
      <c r="T138" s="25"/>
    </row>
    <row r="139" spans="1:20" x14ac:dyDescent="0.2">
      <c r="A139" s="25"/>
      <c r="B139" s="25"/>
      <c r="C139" s="25"/>
      <c r="D139" s="25"/>
      <c r="E139" s="25"/>
      <c r="F139" s="25"/>
      <c r="G139" s="25"/>
      <c r="H139" s="25"/>
      <c r="I139" s="25"/>
      <c r="J139" s="25"/>
      <c r="K139" s="25"/>
      <c r="L139" s="25"/>
      <c r="M139" s="25"/>
      <c r="N139" s="25"/>
      <c r="O139" s="25"/>
      <c r="P139" s="25"/>
      <c r="Q139" s="25"/>
      <c r="R139" s="25"/>
      <c r="S139" s="25"/>
      <c r="T139" s="25"/>
    </row>
    <row r="140" spans="1:20" x14ac:dyDescent="0.2">
      <c r="A140" s="25"/>
      <c r="B140" s="25"/>
      <c r="C140" s="25"/>
      <c r="D140" s="25"/>
      <c r="E140" s="25"/>
      <c r="F140" s="25"/>
      <c r="G140" s="25"/>
      <c r="H140" s="25"/>
      <c r="I140" s="25"/>
      <c r="J140" s="25"/>
      <c r="K140" s="25"/>
      <c r="L140" s="25"/>
      <c r="M140" s="25"/>
      <c r="N140" s="25"/>
      <c r="O140" s="25"/>
      <c r="P140" s="25"/>
      <c r="Q140" s="25"/>
      <c r="R140" s="25"/>
      <c r="S140" s="25"/>
      <c r="T140" s="25"/>
    </row>
    <row r="141" spans="1:20" x14ac:dyDescent="0.2">
      <c r="A141" s="25"/>
      <c r="B141" s="25"/>
      <c r="C141" s="25"/>
      <c r="D141" s="25"/>
      <c r="E141" s="25"/>
      <c r="F141" s="25"/>
      <c r="G141" s="25"/>
      <c r="H141" s="25"/>
      <c r="I141" s="25"/>
      <c r="J141" s="25"/>
      <c r="K141" s="25"/>
      <c r="L141" s="25"/>
      <c r="M141" s="25"/>
      <c r="N141" s="25"/>
      <c r="O141" s="25"/>
      <c r="P141" s="25"/>
      <c r="Q141" s="25"/>
      <c r="R141" s="25"/>
      <c r="S141" s="25"/>
      <c r="T141" s="25"/>
    </row>
    <row r="142" spans="1:20" x14ac:dyDescent="0.2">
      <c r="A142" s="25"/>
      <c r="B142" s="25"/>
      <c r="C142" s="25"/>
      <c r="D142" s="25"/>
      <c r="E142" s="25"/>
      <c r="F142" s="25"/>
      <c r="G142" s="25"/>
      <c r="H142" s="25"/>
      <c r="I142" s="25"/>
      <c r="J142" s="25"/>
      <c r="K142" s="25"/>
      <c r="L142" s="25"/>
      <c r="M142" s="25"/>
      <c r="N142" s="25"/>
      <c r="O142" s="25"/>
      <c r="P142" s="25"/>
      <c r="Q142" s="25"/>
      <c r="R142" s="25"/>
      <c r="S142" s="25"/>
      <c r="T142" s="25"/>
    </row>
    <row r="143" spans="1:20" x14ac:dyDescent="0.2">
      <c r="A143" s="25"/>
      <c r="B143" s="25"/>
      <c r="C143" s="25"/>
      <c r="D143" s="25"/>
      <c r="E143" s="25"/>
      <c r="F143" s="25"/>
      <c r="G143" s="25"/>
      <c r="H143" s="25"/>
      <c r="I143" s="25"/>
      <c r="J143" s="25"/>
      <c r="K143" s="25"/>
      <c r="L143" s="25"/>
      <c r="M143" s="25"/>
      <c r="N143" s="25"/>
      <c r="O143" s="25"/>
      <c r="P143" s="25"/>
      <c r="Q143" s="25"/>
      <c r="R143" s="25"/>
      <c r="S143" s="25"/>
      <c r="T143" s="25"/>
    </row>
    <row r="144" spans="1:20" x14ac:dyDescent="0.2">
      <c r="A144" s="25"/>
      <c r="B144" s="25"/>
      <c r="C144" s="25"/>
      <c r="D144" s="25"/>
      <c r="E144" s="25"/>
      <c r="F144" s="25"/>
      <c r="G144" s="25"/>
      <c r="H144" s="25"/>
      <c r="I144" s="25"/>
      <c r="J144" s="25"/>
      <c r="K144" s="25"/>
      <c r="L144" s="25"/>
      <c r="M144" s="25"/>
      <c r="N144" s="25"/>
      <c r="O144" s="25"/>
      <c r="P144" s="25"/>
      <c r="Q144" s="25"/>
      <c r="R144" s="25"/>
      <c r="S144" s="25"/>
      <c r="T144" s="25"/>
    </row>
    <row r="145" spans="1:20" x14ac:dyDescent="0.2">
      <c r="A145" s="25"/>
      <c r="B145" s="25"/>
      <c r="C145" s="25"/>
      <c r="D145" s="25"/>
      <c r="E145" s="25"/>
      <c r="F145" s="25"/>
      <c r="G145" s="25"/>
      <c r="H145" s="25"/>
      <c r="I145" s="25"/>
      <c r="J145" s="25"/>
      <c r="K145" s="25"/>
      <c r="L145" s="25"/>
      <c r="M145" s="25"/>
      <c r="N145" s="25"/>
      <c r="O145" s="25"/>
      <c r="P145" s="25"/>
      <c r="Q145" s="25"/>
      <c r="R145" s="25"/>
      <c r="S145" s="25"/>
      <c r="T145" s="25"/>
    </row>
    <row r="146" spans="1:20" x14ac:dyDescent="0.2">
      <c r="A146" s="25"/>
      <c r="B146" s="25"/>
      <c r="C146" s="25"/>
      <c r="D146" s="25"/>
      <c r="E146" s="25"/>
      <c r="F146" s="25"/>
      <c r="G146" s="25"/>
      <c r="H146" s="25"/>
      <c r="I146" s="25"/>
      <c r="J146" s="25"/>
      <c r="K146" s="25"/>
      <c r="L146" s="25"/>
      <c r="M146" s="25"/>
      <c r="N146" s="25"/>
      <c r="O146" s="25"/>
      <c r="P146" s="25"/>
      <c r="Q146" s="25"/>
      <c r="R146" s="25"/>
      <c r="S146" s="25"/>
      <c r="T146" s="25"/>
    </row>
    <row r="147" spans="1:20" x14ac:dyDescent="0.2">
      <c r="A147" s="25"/>
      <c r="B147" s="25"/>
      <c r="C147" s="25"/>
      <c r="D147" s="25"/>
      <c r="E147" s="25"/>
      <c r="F147" s="25"/>
      <c r="G147" s="25"/>
      <c r="H147" s="25"/>
      <c r="I147" s="25"/>
      <c r="J147" s="25"/>
      <c r="K147" s="25"/>
      <c r="L147" s="25"/>
      <c r="M147" s="25"/>
      <c r="N147" s="25"/>
      <c r="O147" s="25"/>
      <c r="P147" s="25"/>
      <c r="Q147" s="25"/>
      <c r="R147" s="25"/>
      <c r="S147" s="25"/>
      <c r="T147" s="25"/>
    </row>
    <row r="148" spans="1:20" x14ac:dyDescent="0.2">
      <c r="A148" s="25"/>
      <c r="B148" s="25"/>
      <c r="C148" s="25"/>
      <c r="D148" s="25"/>
      <c r="E148" s="25"/>
      <c r="F148" s="25"/>
      <c r="G148" s="25"/>
      <c r="H148" s="25"/>
      <c r="I148" s="25"/>
      <c r="J148" s="25"/>
      <c r="K148" s="25"/>
      <c r="L148" s="25"/>
      <c r="M148" s="25"/>
      <c r="N148" s="25"/>
      <c r="O148" s="25"/>
      <c r="P148" s="25"/>
      <c r="Q148" s="25"/>
      <c r="R148" s="25"/>
      <c r="S148" s="25"/>
      <c r="T148" s="25"/>
    </row>
    <row r="149" spans="1:20" x14ac:dyDescent="0.2">
      <c r="A149" s="25"/>
      <c r="B149" s="25"/>
      <c r="C149" s="25"/>
      <c r="D149" s="25"/>
      <c r="E149" s="25"/>
      <c r="F149" s="25"/>
      <c r="G149" s="25"/>
      <c r="H149" s="25"/>
      <c r="I149" s="25"/>
      <c r="J149" s="25"/>
      <c r="K149" s="25"/>
      <c r="L149" s="25"/>
      <c r="M149" s="25"/>
      <c r="N149" s="25"/>
      <c r="O149" s="25"/>
      <c r="P149" s="25"/>
      <c r="Q149" s="25"/>
      <c r="R149" s="25"/>
      <c r="S149" s="25"/>
      <c r="T149" s="25"/>
    </row>
    <row r="150" spans="1:20" x14ac:dyDescent="0.2">
      <c r="A150" s="25"/>
      <c r="B150" s="25"/>
      <c r="C150" s="25"/>
      <c r="D150" s="25"/>
      <c r="E150" s="25"/>
      <c r="F150" s="25"/>
      <c r="G150" s="25"/>
      <c r="H150" s="25"/>
      <c r="I150" s="25"/>
      <c r="J150" s="25"/>
      <c r="K150" s="25"/>
      <c r="L150" s="25"/>
      <c r="M150" s="25"/>
      <c r="N150" s="25"/>
      <c r="O150" s="25"/>
      <c r="P150" s="25"/>
      <c r="Q150" s="25"/>
      <c r="R150" s="25"/>
      <c r="S150" s="25"/>
      <c r="T150" s="25"/>
    </row>
  </sheetData>
  <sheetProtection sheet="1" objects="1" scenarios="1" selectLockedCells="1"/>
  <mergeCells count="6">
    <mergeCell ref="C30:G30"/>
    <mergeCell ref="C17:G17"/>
    <mergeCell ref="D2:L2"/>
    <mergeCell ref="C15:D15"/>
    <mergeCell ref="F15:G15"/>
    <mergeCell ref="D14:F14"/>
  </mergeCells>
  <phoneticPr fontId="15" type="noConversion"/>
  <hyperlinks>
    <hyperlink ref="F15" location="Help!L100" tooltip="ABOUT LIFTCALC" display="ABOUT LIFTCALC"/>
    <hyperlink ref="C15:D15" location="Help!A72" tooltip="LICENSE AGREEMENT" display="LICENSE AGREEMENT"/>
    <hyperlink ref="E80" location="Help!A1" tooltip="Back to Top of Page" display="BACK"/>
    <hyperlink ref="F137" location="Help!A1" tooltip="Back to Top of Page" display="BACK"/>
    <hyperlink ref="D14:E14" r:id="rId1" display="USER MANUAL (in PDF)"/>
    <hyperlink ref="D14:F14" r:id="rId2" tooltip="USER MANUAL (in PDF)" display="USER MANUAL (in PDF)"/>
  </hyperlinks>
  <pageMargins left="0.75" right="0.75" top="1" bottom="1" header="0.5" footer="0.5"/>
  <headerFooter alignWithMargins="0"/>
  <drawing r:id="rId3"/>
  <legacyDrawing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pageSetUpPr fitToPage="1"/>
  </sheetPr>
  <dimension ref="A1:K34"/>
  <sheetViews>
    <sheetView showRowColHeaders="0" workbookViewId="0">
      <selection activeCell="C20" sqref="C20"/>
    </sheetView>
  </sheetViews>
  <sheetFormatPr defaultRowHeight="12.75" x14ac:dyDescent="0.2"/>
  <cols>
    <col min="1" max="1" width="3" style="25" customWidth="1"/>
    <col min="2" max="2" width="13.28515625" style="25" customWidth="1"/>
    <col min="3" max="3" width="12" style="25" customWidth="1"/>
    <col min="4" max="4" width="5.42578125" style="25" customWidth="1"/>
    <col min="5" max="5" width="11.42578125" style="25" customWidth="1"/>
    <col min="6" max="6" width="9.140625" style="25"/>
    <col min="7" max="7" width="13.28515625" style="25" customWidth="1"/>
    <col min="8" max="16384" width="9.140625" style="25"/>
  </cols>
  <sheetData>
    <row r="1" spans="1:9" x14ac:dyDescent="0.2">
      <c r="A1"/>
    </row>
    <row r="2" spans="1:9" x14ac:dyDescent="0.2">
      <c r="A2" s="26"/>
    </row>
    <row r="4" spans="1:9" ht="18" x14ac:dyDescent="0.25">
      <c r="E4" s="849" t="s">
        <v>2005</v>
      </c>
      <c r="F4" s="849"/>
      <c r="G4" s="849"/>
      <c r="H4" s="849"/>
      <c r="I4" s="849"/>
    </row>
    <row r="9" spans="1:9" ht="15.75" thickBot="1" x14ac:dyDescent="0.3">
      <c r="C9" s="450" t="s">
        <v>1997</v>
      </c>
      <c r="H9" s="29" t="s">
        <v>1995</v>
      </c>
      <c r="I9" s="29" t="s">
        <v>2018</v>
      </c>
    </row>
    <row r="10" spans="1:9" ht="16.5" thickBot="1" x14ac:dyDescent="0.3">
      <c r="B10" s="57" t="s">
        <v>2006</v>
      </c>
      <c r="C10" s="453">
        <v>33</v>
      </c>
      <c r="G10" s="25" t="s">
        <v>2019</v>
      </c>
      <c r="H10" s="25">
        <f>C10*C11*C12</f>
        <v>1072.5</v>
      </c>
      <c r="I10" s="25">
        <f>((0.7854*$C$14*$C$14*$C$18)/2)+((0.7854*$C$15*$C$15*$C$17)/2)+((0.7854*$C$15*$C$15*$C$19)/2)</f>
        <v>4168.9031999999997</v>
      </c>
    </row>
    <row r="11" spans="1:9" ht="16.5" thickBot="1" x14ac:dyDescent="0.3">
      <c r="B11" s="57" t="s">
        <v>2007</v>
      </c>
      <c r="C11" s="453">
        <v>26</v>
      </c>
      <c r="G11" s="25" t="s">
        <v>2020</v>
      </c>
      <c r="H11" s="25">
        <f>C18*C14*C12</f>
        <v>290</v>
      </c>
      <c r="I11" s="25">
        <f>((0.7854*($C$14-$C$20)*($C$14-$C$20)*($C$18-C20))/2)+((0.7854*($C$15-$C$20)*($C$15-$C$20)*($C$17-$C$20))/2)+((0.7854*($C$15-C20)*($C$15-$C$20)*($C$19-C20))/2)</f>
        <v>3087.9044109375</v>
      </c>
    </row>
    <row r="12" spans="1:9" ht="16.5" thickBot="1" x14ac:dyDescent="0.3">
      <c r="B12" s="57" t="s">
        <v>2008</v>
      </c>
      <c r="C12" s="454">
        <v>1.25</v>
      </c>
      <c r="D12" s="69" t="s">
        <v>1301</v>
      </c>
      <c r="G12" s="422" t="s">
        <v>2021</v>
      </c>
      <c r="H12" s="25">
        <f>H10-H11</f>
        <v>782.5</v>
      </c>
      <c r="I12" s="25">
        <f>I10-I11</f>
        <v>1080.9987890624998</v>
      </c>
    </row>
    <row r="13" spans="1:9" ht="16.5" thickBot="1" x14ac:dyDescent="0.3">
      <c r="B13" s="57"/>
      <c r="G13" s="422" t="s">
        <v>1960</v>
      </c>
      <c r="H13" s="383">
        <f>H12*$H$15</f>
        <v>221.88946759259261</v>
      </c>
      <c r="I13" s="383">
        <f>I12*$H$15</f>
        <v>306.53322143554681</v>
      </c>
    </row>
    <row r="14" spans="1:9" ht="16.5" thickBot="1" x14ac:dyDescent="0.3">
      <c r="B14" s="57" t="s">
        <v>2009</v>
      </c>
      <c r="C14" s="453">
        <v>29</v>
      </c>
    </row>
    <row r="15" spans="1:9" ht="16.5" thickBot="1" x14ac:dyDescent="0.3">
      <c r="B15" s="57" t="s">
        <v>2010</v>
      </c>
      <c r="C15" s="453">
        <v>18</v>
      </c>
      <c r="G15" s="25" t="s">
        <v>2023</v>
      </c>
      <c r="H15" s="50">
        <f>LOOKUP(J34,Weights!B40:B49,Weights!E40:E49)</f>
        <v>0.28356481481481483</v>
      </c>
    </row>
    <row r="16" spans="1:9" ht="16.5" thickBot="1" x14ac:dyDescent="0.3">
      <c r="B16" s="57"/>
    </row>
    <row r="17" spans="1:11" ht="16.5" thickBot="1" x14ac:dyDescent="0.3">
      <c r="B17" s="57" t="s">
        <v>2011</v>
      </c>
      <c r="C17" s="453">
        <v>6</v>
      </c>
    </row>
    <row r="18" spans="1:11" ht="16.5" thickBot="1" x14ac:dyDescent="0.3">
      <c r="B18" s="57" t="s">
        <v>2012</v>
      </c>
      <c r="C18" s="453">
        <v>8</v>
      </c>
      <c r="K18" s="29"/>
    </row>
    <row r="19" spans="1:11" ht="16.5" thickBot="1" x14ac:dyDescent="0.3">
      <c r="B19" s="57" t="s">
        <v>2013</v>
      </c>
      <c r="C19" s="453">
        <v>6</v>
      </c>
      <c r="E19" s="559">
        <f>H13+I13</f>
        <v>528.42268902813942</v>
      </c>
      <c r="F19" s="66" t="s">
        <v>2014</v>
      </c>
    </row>
    <row r="20" spans="1:11" ht="16.5" thickBot="1" x14ac:dyDescent="0.3">
      <c r="B20" s="451" t="s">
        <v>2015</v>
      </c>
      <c r="C20" s="454">
        <v>1.25</v>
      </c>
      <c r="D20" s="69" t="s">
        <v>1301</v>
      </c>
      <c r="E20" s="559">
        <f>E19/2000</f>
        <v>0.26421134451406969</v>
      </c>
      <c r="F20" s="66" t="s">
        <v>1962</v>
      </c>
    </row>
    <row r="21" spans="1:11" x14ac:dyDescent="0.2">
      <c r="E21" s="452" t="s">
        <v>2016</v>
      </c>
    </row>
    <row r="22" spans="1:11" x14ac:dyDescent="0.2">
      <c r="A22" s="839" t="s">
        <v>1300</v>
      </c>
      <c r="B22" s="839"/>
      <c r="E22" s="452" t="s">
        <v>2017</v>
      </c>
    </row>
    <row r="24" spans="1:11" ht="15.75" customHeight="1" x14ac:dyDescent="0.2">
      <c r="B24" s="897" t="s">
        <v>1302</v>
      </c>
      <c r="C24" s="897"/>
      <c r="D24" s="897"/>
      <c r="E24" s="897"/>
      <c r="F24" s="897"/>
      <c r="H24" s="887" t="str">
        <f>IF(MASTERSWITCH=1,"EVALUATION PERIOD EXPIRED!","")</f>
        <v/>
      </c>
      <c r="I24" s="887"/>
      <c r="J24" s="887"/>
    </row>
    <row r="25" spans="1:11" ht="15.75" customHeight="1" x14ac:dyDescent="0.2">
      <c r="B25" s="897"/>
      <c r="C25" s="897"/>
      <c r="D25" s="897"/>
      <c r="E25" s="897"/>
      <c r="F25" s="897"/>
      <c r="H25" s="887" t="str">
        <f>IF(MASTERSWITCH=1,"PLEASE PURCHASE LICENSE TO","")</f>
        <v/>
      </c>
      <c r="I25" s="887"/>
      <c r="J25" s="887"/>
    </row>
    <row r="26" spans="1:11" ht="15.75" customHeight="1" x14ac:dyDescent="0.2">
      <c r="B26" s="897"/>
      <c r="C26" s="897"/>
      <c r="D26" s="897"/>
      <c r="E26" s="897"/>
      <c r="F26" s="897"/>
      <c r="H26" s="887" t="str">
        <f>IF(MASTERSWITCH=1,"CONTINUE USING THIS PROGRAM","")</f>
        <v/>
      </c>
      <c r="I26" s="887"/>
      <c r="J26" s="887"/>
    </row>
    <row r="27" spans="1:11" ht="13.5" customHeight="1" thickBot="1" x14ac:dyDescent="0.25">
      <c r="B27" s="647"/>
      <c r="C27" s="706" t="s">
        <v>1817</v>
      </c>
      <c r="D27" s="647"/>
      <c r="E27" s="647"/>
      <c r="F27" s="647"/>
      <c r="J27" s="29"/>
    </row>
    <row r="28" spans="1:11" x14ac:dyDescent="0.2">
      <c r="C28" s="888"/>
      <c r="D28" s="889"/>
      <c r="E28" s="889"/>
      <c r="F28" s="889"/>
      <c r="G28" s="889"/>
      <c r="H28" s="889"/>
      <c r="I28" s="889"/>
      <c r="J28" s="890"/>
    </row>
    <row r="29" spans="1:11" x14ac:dyDescent="0.2">
      <c r="C29" s="891"/>
      <c r="D29" s="892"/>
      <c r="E29" s="892"/>
      <c r="F29" s="892"/>
      <c r="G29" s="892"/>
      <c r="H29" s="892"/>
      <c r="I29" s="892"/>
      <c r="J29" s="893"/>
    </row>
    <row r="30" spans="1:11" x14ac:dyDescent="0.2">
      <c r="C30" s="891"/>
      <c r="D30" s="892"/>
      <c r="E30" s="892"/>
      <c r="F30" s="892"/>
      <c r="G30" s="892"/>
      <c r="H30" s="892"/>
      <c r="I30" s="892"/>
      <c r="J30" s="893"/>
    </row>
    <row r="31" spans="1:11" x14ac:dyDescent="0.2">
      <c r="C31" s="891"/>
      <c r="D31" s="892"/>
      <c r="E31" s="892"/>
      <c r="F31" s="892"/>
      <c r="G31" s="892"/>
      <c r="H31" s="892"/>
      <c r="I31" s="892"/>
      <c r="J31" s="893"/>
    </row>
    <row r="32" spans="1:11" ht="13.5" thickBot="1" x14ac:dyDescent="0.25">
      <c r="C32" s="894"/>
      <c r="D32" s="895"/>
      <c r="E32" s="895"/>
      <c r="F32" s="895"/>
      <c r="G32" s="895"/>
      <c r="H32" s="895"/>
      <c r="I32" s="895"/>
      <c r="J32" s="896"/>
    </row>
    <row r="34" spans="9:10" x14ac:dyDescent="0.2">
      <c r="I34" s="224" t="s">
        <v>2022</v>
      </c>
      <c r="J34" s="222">
        <v>2</v>
      </c>
    </row>
  </sheetData>
  <sheetProtection password="D809" sheet="1" objects="1" scenarios="1" selectLockedCells="1"/>
  <mergeCells count="7">
    <mergeCell ref="C28:J32"/>
    <mergeCell ref="E4:I4"/>
    <mergeCell ref="A22:B22"/>
    <mergeCell ref="B24:F26"/>
    <mergeCell ref="H24:J24"/>
    <mergeCell ref="H25:J25"/>
    <mergeCell ref="H26:J26"/>
  </mergeCells>
  <phoneticPr fontId="15" type="noConversion"/>
  <conditionalFormatting sqref="C10:C12 C14:C15 C17:C20">
    <cfRule type="expression" dxfId="131" priority="1" stopIfTrue="1">
      <formula>(MASTERSWITCH=1)</formula>
    </cfRule>
  </conditionalFormatting>
  <conditionalFormatting sqref="H24:J26">
    <cfRule type="expression" dxfId="130" priority="2" stopIfTrue="1">
      <formula>(MASTERSWITCH=1)</formula>
    </cfRule>
  </conditionalFormatting>
  <printOptions horizontalCentered="1"/>
  <pageMargins left="0.75" right="0.75" top="1.75" bottom="1.5" header="0.5" footer="0.5"/>
  <pageSetup scale="80" orientation="portrait" horizontalDpi="0" verticalDpi="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2296" r:id="rId5" name="Drop Down 8">
              <controlPr locked="0" defaultSize="0" autoFill="0" autoLine="0" autoPict="0">
                <anchor moveWithCells="1">
                  <from>
                    <xdr:col>2</xdr:col>
                    <xdr:colOff>57150</xdr:colOff>
                    <xdr:row>20</xdr:row>
                    <xdr:rowOff>142875</xdr:rowOff>
                  </from>
                  <to>
                    <xdr:col>3</xdr:col>
                    <xdr:colOff>228600</xdr:colOff>
                    <xdr:row>22</xdr:row>
                    <xdr:rowOff>28575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pageSetUpPr fitToPage="1"/>
  </sheetPr>
  <dimension ref="A1:Q175"/>
  <sheetViews>
    <sheetView showRowColHeaders="0" workbookViewId="0">
      <selection activeCell="E22" sqref="E22"/>
    </sheetView>
  </sheetViews>
  <sheetFormatPr defaultRowHeight="12.75" x14ac:dyDescent="0.2"/>
  <cols>
    <col min="1" max="1" width="15.140625" style="25" customWidth="1"/>
    <col min="2" max="2" width="3.5703125" style="25" customWidth="1"/>
    <col min="3" max="3" width="22.85546875" style="25" customWidth="1"/>
    <col min="4" max="4" width="10.42578125" style="25" customWidth="1"/>
    <col min="5" max="5" width="8.7109375" style="25" customWidth="1"/>
    <col min="6" max="6" width="3.28515625" style="25" customWidth="1"/>
    <col min="7" max="7" width="9.140625" style="25"/>
    <col min="8" max="8" width="1.7109375" style="25" customWidth="1"/>
    <col min="9" max="9" width="6" style="25" customWidth="1"/>
    <col min="10" max="10" width="12.42578125" style="25" customWidth="1"/>
    <col min="11" max="11" width="29" style="25" customWidth="1"/>
    <col min="12" max="12" width="0" style="89" hidden="1" customWidth="1"/>
    <col min="13" max="13" width="22.140625" style="25" hidden="1" customWidth="1"/>
    <col min="14" max="17" width="0" style="25" hidden="1" customWidth="1"/>
    <col min="18" max="16384" width="9.140625" style="25"/>
  </cols>
  <sheetData>
    <row r="1" spans="1:17" x14ac:dyDescent="0.2">
      <c r="A1" s="396"/>
      <c r="B1" s="899"/>
      <c r="C1" s="899"/>
      <c r="L1" s="421" t="s">
        <v>1106</v>
      </c>
      <c r="M1" s="421" t="s">
        <v>1107</v>
      </c>
      <c r="N1" s="421" t="s">
        <v>1108</v>
      </c>
      <c r="O1" s="421" t="s">
        <v>1109</v>
      </c>
      <c r="P1" s="421" t="s">
        <v>1110</v>
      </c>
      <c r="Q1" s="421" t="s">
        <v>1111</v>
      </c>
    </row>
    <row r="2" spans="1:17" ht="18" x14ac:dyDescent="0.25">
      <c r="A2" s="26"/>
      <c r="C2" s="59" t="s">
        <v>1774</v>
      </c>
      <c r="L2" s="435">
        <v>1</v>
      </c>
      <c r="M2" s="429" t="s">
        <v>1112</v>
      </c>
      <c r="N2" s="430">
        <v>4.9000000000000002E-2</v>
      </c>
      <c r="O2" s="428">
        <v>0.186</v>
      </c>
      <c r="P2" s="428">
        <v>0.307</v>
      </c>
      <c r="Q2" s="428">
        <f t="shared" ref="Q2:Q23" si="0">P2+(N2*2)</f>
        <v>0.40500000000000003</v>
      </c>
    </row>
    <row r="3" spans="1:17" x14ac:dyDescent="0.2">
      <c r="C3" s="423" t="s">
        <v>1113</v>
      </c>
      <c r="L3" s="435">
        <v>2</v>
      </c>
      <c r="M3" s="429" t="s">
        <v>1114</v>
      </c>
      <c r="N3" s="428">
        <v>6.8000000000000005E-2</v>
      </c>
      <c r="O3" s="428">
        <v>0.245</v>
      </c>
      <c r="P3" s="428">
        <v>0.26900000000000002</v>
      </c>
      <c r="Q3" s="428">
        <f t="shared" si="0"/>
        <v>0.40500000000000003</v>
      </c>
    </row>
    <row r="4" spans="1:17" ht="15" customHeight="1" x14ac:dyDescent="0.2">
      <c r="E4" s="439" t="s">
        <v>1775</v>
      </c>
      <c r="L4" s="435">
        <v>3</v>
      </c>
      <c r="M4" s="429" t="s">
        <v>1115</v>
      </c>
      <c r="N4" s="428">
        <v>9.5000000000000001E-2</v>
      </c>
      <c r="O4" s="428">
        <v>0.315</v>
      </c>
      <c r="P4" s="428">
        <v>0.215</v>
      </c>
      <c r="Q4" s="428">
        <f t="shared" si="0"/>
        <v>0.40500000000000003</v>
      </c>
    </row>
    <row r="5" spans="1:17" ht="16.5" customHeight="1" x14ac:dyDescent="0.2">
      <c r="B5" s="234"/>
      <c r="C5" s="900" t="s">
        <v>1116</v>
      </c>
      <c r="D5" s="900"/>
      <c r="G5" s="438">
        <v>86</v>
      </c>
      <c r="L5" s="435">
        <v>4</v>
      </c>
      <c r="M5" s="429" t="s">
        <v>1117</v>
      </c>
      <c r="N5" s="428">
        <v>6.5000000000000002E-2</v>
      </c>
      <c r="O5" s="428">
        <v>0.33</v>
      </c>
      <c r="P5" s="431">
        <v>0.41</v>
      </c>
      <c r="Q5" s="428">
        <f t="shared" si="0"/>
        <v>0.54</v>
      </c>
    </row>
    <row r="6" spans="1:17" x14ac:dyDescent="0.2">
      <c r="L6" s="435">
        <v>5</v>
      </c>
      <c r="M6" s="429" t="s">
        <v>1118</v>
      </c>
      <c r="N6" s="428">
        <v>8.7999999999999995E-2</v>
      </c>
      <c r="O6" s="428">
        <v>0.42499999999999999</v>
      </c>
      <c r="P6" s="428">
        <v>0.36399999999999999</v>
      </c>
      <c r="Q6" s="428">
        <f t="shared" si="0"/>
        <v>0.54</v>
      </c>
    </row>
    <row r="7" spans="1:17" x14ac:dyDescent="0.2">
      <c r="L7" s="435">
        <v>6</v>
      </c>
      <c r="M7" s="429" t="s">
        <v>1119</v>
      </c>
      <c r="N7" s="428">
        <v>0.11899999999999999</v>
      </c>
      <c r="O7" s="428">
        <v>0.53500000000000003</v>
      </c>
      <c r="P7" s="428">
        <v>0.30199999999999999</v>
      </c>
      <c r="Q7" s="428">
        <f t="shared" si="0"/>
        <v>0.54</v>
      </c>
    </row>
    <row r="8" spans="1:17" x14ac:dyDescent="0.2">
      <c r="C8" s="422" t="s">
        <v>1120</v>
      </c>
      <c r="D8" s="560">
        <f>VLOOKUP(G5,$L$2:$Q$175,6,TRUE)</f>
        <v>8.625</v>
      </c>
      <c r="L8" s="435">
        <v>7</v>
      </c>
      <c r="M8" s="429" t="s">
        <v>1121</v>
      </c>
      <c r="N8" s="428">
        <v>6.5000000000000002E-2</v>
      </c>
      <c r="O8" s="428">
        <v>0.42299999999999999</v>
      </c>
      <c r="P8" s="428">
        <v>0.54500000000000004</v>
      </c>
      <c r="Q8" s="428">
        <f t="shared" si="0"/>
        <v>0.67500000000000004</v>
      </c>
    </row>
    <row r="9" spans="1:17" x14ac:dyDescent="0.2">
      <c r="C9" s="422" t="s">
        <v>1122</v>
      </c>
      <c r="D9" s="560">
        <f>VLOOKUP(G5,$L$2:$Q$175,5,TRUE)</f>
        <v>7.9809999999999999</v>
      </c>
      <c r="L9" s="435">
        <v>8</v>
      </c>
      <c r="M9" s="429" t="s">
        <v>1123</v>
      </c>
      <c r="N9" s="428">
        <v>9.0999999999999998E-2</v>
      </c>
      <c r="O9" s="428">
        <v>0.56799999999999995</v>
      </c>
      <c r="P9" s="428">
        <v>0.49299999999999999</v>
      </c>
      <c r="Q9" s="428">
        <f t="shared" si="0"/>
        <v>0.67500000000000004</v>
      </c>
    </row>
    <row r="10" spans="1:17" x14ac:dyDescent="0.2">
      <c r="C10" s="422" t="s">
        <v>1124</v>
      </c>
      <c r="D10" s="560">
        <f>VLOOKUP($G$5,$L$2:$Q$175,3,TRUE)</f>
        <v>0.32200000000000001</v>
      </c>
      <c r="L10" s="435">
        <v>9</v>
      </c>
      <c r="M10" s="429" t="s">
        <v>1125</v>
      </c>
      <c r="N10" s="428">
        <v>0.126</v>
      </c>
      <c r="O10" s="428">
        <v>0.73899999999999999</v>
      </c>
      <c r="P10" s="428">
        <v>0.42299999999999999</v>
      </c>
      <c r="Q10" s="428">
        <f t="shared" si="0"/>
        <v>0.67500000000000004</v>
      </c>
    </row>
    <row r="11" spans="1:17" x14ac:dyDescent="0.2">
      <c r="C11" s="422" t="s">
        <v>1126</v>
      </c>
      <c r="D11" s="560">
        <f>VLOOKUP($G$5,$L$2:$Q$175,4,TRUE)</f>
        <v>28.55</v>
      </c>
      <c r="L11" s="435">
        <v>10</v>
      </c>
      <c r="M11" s="429" t="s">
        <v>1127</v>
      </c>
      <c r="N11" s="428">
        <v>8.3000000000000004E-2</v>
      </c>
      <c r="O11" s="428">
        <v>0.67100000000000004</v>
      </c>
      <c r="P11" s="428">
        <v>0.67400000000000004</v>
      </c>
      <c r="Q11" s="428">
        <f t="shared" si="0"/>
        <v>0.84000000000000008</v>
      </c>
    </row>
    <row r="12" spans="1:17" x14ac:dyDescent="0.2">
      <c r="D12" s="257" t="s">
        <v>2057</v>
      </c>
      <c r="E12" s="257" t="s">
        <v>2026</v>
      </c>
      <c r="L12" s="435">
        <v>11</v>
      </c>
      <c r="M12" s="429" t="s">
        <v>1526</v>
      </c>
      <c r="N12" s="431">
        <v>0.109</v>
      </c>
      <c r="O12" s="429">
        <v>0.85099999999999998</v>
      </c>
      <c r="P12" s="428">
        <v>0.622</v>
      </c>
      <c r="Q12" s="428">
        <f t="shared" si="0"/>
        <v>0.84</v>
      </c>
    </row>
    <row r="13" spans="1:17" ht="15" x14ac:dyDescent="0.25">
      <c r="C13" s="51" t="s">
        <v>1527</v>
      </c>
      <c r="D13" s="427">
        <v>21</v>
      </c>
      <c r="E13" s="427">
        <v>0</v>
      </c>
      <c r="L13" s="435">
        <v>12</v>
      </c>
      <c r="M13" s="429" t="s">
        <v>1528</v>
      </c>
      <c r="N13" s="431">
        <v>0.14699999999999999</v>
      </c>
      <c r="O13" s="429">
        <v>1.0880000000000001</v>
      </c>
      <c r="P13" s="428">
        <v>0.54600000000000004</v>
      </c>
      <c r="Q13" s="428">
        <f t="shared" si="0"/>
        <v>0.84000000000000008</v>
      </c>
    </row>
    <row r="14" spans="1:17" ht="15.75" x14ac:dyDescent="0.25">
      <c r="C14" s="51" t="s">
        <v>1529</v>
      </c>
      <c r="D14" s="561">
        <f>ROUNDUP(((D13+(E13/12))*D11),0)</f>
        <v>600</v>
      </c>
      <c r="E14" s="60" t="s">
        <v>2014</v>
      </c>
      <c r="L14" s="435">
        <v>13</v>
      </c>
      <c r="M14" s="429" t="s">
        <v>1530</v>
      </c>
      <c r="N14" s="431">
        <v>0.187</v>
      </c>
      <c r="O14" s="429">
        <v>1.304</v>
      </c>
      <c r="P14" s="428">
        <v>0.46600000000000003</v>
      </c>
      <c r="Q14" s="428">
        <f t="shared" si="0"/>
        <v>0.84000000000000008</v>
      </c>
    </row>
    <row r="15" spans="1:17" x14ac:dyDescent="0.2">
      <c r="L15" s="435">
        <v>14</v>
      </c>
      <c r="M15" s="429" t="s">
        <v>1531</v>
      </c>
      <c r="N15" s="431">
        <v>0.29399999999999998</v>
      </c>
      <c r="O15" s="429">
        <v>1.714</v>
      </c>
      <c r="P15" s="428">
        <v>0.252</v>
      </c>
      <c r="Q15" s="428">
        <f t="shared" si="0"/>
        <v>0.84</v>
      </c>
    </row>
    <row r="16" spans="1:17" x14ac:dyDescent="0.2">
      <c r="L16" s="435">
        <v>15</v>
      </c>
      <c r="M16" s="429" t="s">
        <v>1532</v>
      </c>
      <c r="N16" s="431">
        <v>6.5000000000000002E-2</v>
      </c>
      <c r="O16" s="429">
        <v>0.68400000000000005</v>
      </c>
      <c r="P16" s="431">
        <v>0.92</v>
      </c>
      <c r="Q16" s="428">
        <f t="shared" si="0"/>
        <v>1.05</v>
      </c>
    </row>
    <row r="17" spans="2:17" x14ac:dyDescent="0.2">
      <c r="B17" s="234"/>
      <c r="C17" s="436" t="s">
        <v>1533</v>
      </c>
      <c r="D17" s="437"/>
      <c r="E17" s="234"/>
      <c r="F17" s="234"/>
      <c r="G17" s="234"/>
      <c r="H17" s="234"/>
      <c r="L17" s="435">
        <v>16</v>
      </c>
      <c r="M17" s="429" t="s">
        <v>1534</v>
      </c>
      <c r="N17" s="431">
        <v>8.3000000000000004E-2</v>
      </c>
      <c r="O17" s="429">
        <v>0.85699999999999998</v>
      </c>
      <c r="P17" s="428">
        <v>0.88400000000000001</v>
      </c>
      <c r="Q17" s="428">
        <f t="shared" si="0"/>
        <v>1.05</v>
      </c>
    </row>
    <row r="18" spans="2:17" x14ac:dyDescent="0.2">
      <c r="B18" s="234"/>
      <c r="H18" s="234"/>
      <c r="L18" s="435">
        <v>17</v>
      </c>
      <c r="M18" s="429" t="s">
        <v>1535</v>
      </c>
      <c r="N18" s="431">
        <v>0.113</v>
      </c>
      <c r="O18" s="429">
        <v>1.131</v>
      </c>
      <c r="P18" s="428">
        <v>0.82399999999999995</v>
      </c>
      <c r="Q18" s="428">
        <f t="shared" si="0"/>
        <v>1.05</v>
      </c>
    </row>
    <row r="19" spans="2:17" ht="15" x14ac:dyDescent="0.25">
      <c r="B19" s="234"/>
      <c r="C19" s="424" t="s">
        <v>1536</v>
      </c>
      <c r="D19" s="426">
        <v>8.625</v>
      </c>
      <c r="E19" s="70"/>
      <c r="H19" s="234"/>
      <c r="L19" s="435">
        <v>18</v>
      </c>
      <c r="M19" s="429" t="s">
        <v>1537</v>
      </c>
      <c r="N19" s="431">
        <v>0.154</v>
      </c>
      <c r="O19" s="429">
        <v>1.474</v>
      </c>
      <c r="P19" s="428">
        <v>0.74199999999999999</v>
      </c>
      <c r="Q19" s="428">
        <f t="shared" si="0"/>
        <v>1.05</v>
      </c>
    </row>
    <row r="20" spans="2:17" ht="15" x14ac:dyDescent="0.25">
      <c r="B20" s="234"/>
      <c r="C20" s="424" t="s">
        <v>1538</v>
      </c>
      <c r="D20" s="425">
        <v>0.32200000000000001</v>
      </c>
      <c r="E20" s="70"/>
      <c r="H20" s="234"/>
      <c r="L20" s="435">
        <v>19</v>
      </c>
      <c r="M20" s="429" t="s">
        <v>1539</v>
      </c>
      <c r="N20" s="431">
        <v>0.218</v>
      </c>
      <c r="O20" s="429">
        <v>1.9370000000000001</v>
      </c>
      <c r="P20" s="428">
        <v>0.61399999999999999</v>
      </c>
      <c r="Q20" s="428">
        <f t="shared" si="0"/>
        <v>1.05</v>
      </c>
    </row>
    <row r="21" spans="2:17" x14ac:dyDescent="0.2">
      <c r="B21" s="234"/>
      <c r="C21" s="70"/>
      <c r="D21" s="257" t="s">
        <v>2057</v>
      </c>
      <c r="E21" s="257" t="s">
        <v>2026</v>
      </c>
      <c r="H21" s="234"/>
      <c r="L21" s="435">
        <v>20</v>
      </c>
      <c r="M21" s="429" t="s">
        <v>1540</v>
      </c>
      <c r="N21" s="431">
        <v>0.308</v>
      </c>
      <c r="O21" s="429">
        <v>2.4409999999999998</v>
      </c>
      <c r="P21" s="428">
        <v>0.434</v>
      </c>
      <c r="Q21" s="428">
        <f t="shared" si="0"/>
        <v>1.05</v>
      </c>
    </row>
    <row r="22" spans="2:17" ht="15" x14ac:dyDescent="0.25">
      <c r="B22" s="234"/>
      <c r="C22" s="424" t="s">
        <v>1527</v>
      </c>
      <c r="D22" s="427">
        <v>21</v>
      </c>
      <c r="E22" s="427">
        <v>0</v>
      </c>
      <c r="H22" s="234"/>
      <c r="L22" s="435">
        <v>21</v>
      </c>
      <c r="M22" s="429" t="s">
        <v>1541</v>
      </c>
      <c r="N22" s="431">
        <v>6.5000000000000002E-2</v>
      </c>
      <c r="O22" s="429">
        <v>0.86799999999999999</v>
      </c>
      <c r="P22" s="431">
        <v>1.1850000000000001</v>
      </c>
      <c r="Q22" s="428">
        <f t="shared" si="0"/>
        <v>1.3149999999999999</v>
      </c>
    </row>
    <row r="23" spans="2:17" x14ac:dyDescent="0.2">
      <c r="B23" s="234"/>
      <c r="C23" s="70"/>
      <c r="D23" s="70"/>
      <c r="E23" s="70"/>
      <c r="H23" s="234"/>
      <c r="L23" s="435">
        <v>22</v>
      </c>
      <c r="M23" s="429" t="s">
        <v>1542</v>
      </c>
      <c r="N23" s="431">
        <v>0.109</v>
      </c>
      <c r="O23" s="429">
        <v>1.4039999999999999</v>
      </c>
      <c r="P23" s="429">
        <v>1.097</v>
      </c>
      <c r="Q23" s="428">
        <f t="shared" si="0"/>
        <v>1.3149999999999999</v>
      </c>
    </row>
    <row r="24" spans="2:17" x14ac:dyDescent="0.2">
      <c r="B24" s="234"/>
      <c r="C24" s="424" t="s">
        <v>1543</v>
      </c>
      <c r="D24" s="562">
        <f>(10.69*(D19-D20)*D20)</f>
        <v>28.580420540000002</v>
      </c>
      <c r="E24" s="70"/>
      <c r="H24" s="234"/>
      <c r="L24" s="435">
        <v>23</v>
      </c>
      <c r="M24" s="429" t="s">
        <v>1544</v>
      </c>
      <c r="N24" s="431">
        <v>0.13300000000000001</v>
      </c>
      <c r="O24" s="429">
        <v>1.679</v>
      </c>
      <c r="P24" s="429">
        <v>1.0489999999999999</v>
      </c>
      <c r="Q24" s="428">
        <f>P24+(N24*2)</f>
        <v>1.3149999999999999</v>
      </c>
    </row>
    <row r="25" spans="2:17" ht="13.5" thickBot="1" x14ac:dyDescent="0.25">
      <c r="B25" s="234"/>
      <c r="C25" s="424" t="s">
        <v>1545</v>
      </c>
      <c r="D25" s="563">
        <f>(D22+(E22/12))</f>
        <v>21</v>
      </c>
      <c r="E25" s="70"/>
      <c r="H25" s="234"/>
      <c r="L25" s="435">
        <v>24</v>
      </c>
      <c r="M25" s="429" t="s">
        <v>1546</v>
      </c>
      <c r="N25" s="431">
        <v>0.17899999999999999</v>
      </c>
      <c r="O25" s="429">
        <v>2.1720000000000002</v>
      </c>
      <c r="P25" s="428">
        <v>0.95699999999999996</v>
      </c>
      <c r="Q25" s="428">
        <f t="shared" ref="Q25:Q88" si="1">P25+(N25*2)</f>
        <v>1.3149999999999999</v>
      </c>
    </row>
    <row r="26" spans="2:17" ht="16.5" thickBot="1" x14ac:dyDescent="0.3">
      <c r="B26" s="234"/>
      <c r="C26" s="424" t="s">
        <v>1529</v>
      </c>
      <c r="D26" s="564">
        <f>ROUNDUP((D25*D24),0)</f>
        <v>601</v>
      </c>
      <c r="E26" s="381" t="s">
        <v>2014</v>
      </c>
      <c r="H26" s="234"/>
      <c r="L26" s="435">
        <v>25</v>
      </c>
      <c r="M26" s="429" t="s">
        <v>1547</v>
      </c>
      <c r="N26" s="431">
        <v>0.25</v>
      </c>
      <c r="O26" s="429">
        <v>2.8439999999999999</v>
      </c>
      <c r="P26" s="428">
        <v>0.81499999999999995</v>
      </c>
      <c r="Q26" s="428">
        <f t="shared" si="1"/>
        <v>1.3149999999999999</v>
      </c>
    </row>
    <row r="27" spans="2:17" x14ac:dyDescent="0.2">
      <c r="B27" s="234"/>
      <c r="H27" s="234"/>
      <c r="L27" s="435">
        <v>26</v>
      </c>
      <c r="M27" s="429" t="s">
        <v>1548</v>
      </c>
      <c r="N27" s="431">
        <v>0.35799999999999998</v>
      </c>
      <c r="O27" s="429">
        <v>3.6589999999999998</v>
      </c>
      <c r="P27" s="428">
        <v>0.59899999999999998</v>
      </c>
      <c r="Q27" s="428">
        <f t="shared" si="1"/>
        <v>1.3149999999999999</v>
      </c>
    </row>
    <row r="28" spans="2:17" x14ac:dyDescent="0.2">
      <c r="B28" s="234"/>
      <c r="C28" s="202" t="s">
        <v>1549</v>
      </c>
      <c r="D28" s="70"/>
      <c r="E28" s="70"/>
      <c r="H28" s="234"/>
      <c r="L28" s="435">
        <v>27</v>
      </c>
      <c r="M28" s="429" t="s">
        <v>1550</v>
      </c>
      <c r="N28" s="431">
        <v>6.5000000000000002E-2</v>
      </c>
      <c r="O28" s="429">
        <v>1.107</v>
      </c>
      <c r="P28" s="431">
        <v>1.53</v>
      </c>
      <c r="Q28" s="428">
        <f t="shared" si="1"/>
        <v>1.6600000000000001</v>
      </c>
    </row>
    <row r="29" spans="2:17" ht="5.25" customHeight="1" x14ac:dyDescent="0.2">
      <c r="B29" s="234"/>
      <c r="C29" s="70"/>
      <c r="D29" s="70"/>
      <c r="E29" s="70"/>
      <c r="H29" s="234"/>
      <c r="L29" s="435">
        <v>28</v>
      </c>
      <c r="M29" s="429" t="s">
        <v>1551</v>
      </c>
      <c r="N29" s="431">
        <v>0.109</v>
      </c>
      <c r="O29" s="429">
        <v>1.8049999999999999</v>
      </c>
      <c r="P29" s="429">
        <v>1.4419999999999999</v>
      </c>
      <c r="Q29" s="428">
        <f t="shared" si="1"/>
        <v>1.66</v>
      </c>
    </row>
    <row r="30" spans="2:17" ht="9.75" customHeight="1" x14ac:dyDescent="0.2">
      <c r="B30" s="234"/>
      <c r="C30" s="234"/>
      <c r="D30" s="234"/>
      <c r="E30" s="234"/>
      <c r="F30" s="234"/>
      <c r="G30" s="234"/>
      <c r="H30" s="234"/>
      <c r="L30" s="435">
        <v>29</v>
      </c>
      <c r="M30" s="429" t="s">
        <v>1552</v>
      </c>
      <c r="N30" s="431">
        <v>0.14000000000000001</v>
      </c>
      <c r="O30" s="429">
        <v>2.2730000000000001</v>
      </c>
      <c r="P30" s="431">
        <v>1.38</v>
      </c>
      <c r="Q30" s="428">
        <f t="shared" si="1"/>
        <v>1.66</v>
      </c>
    </row>
    <row r="31" spans="2:17" x14ac:dyDescent="0.2">
      <c r="L31" s="435">
        <v>30</v>
      </c>
      <c r="M31" s="429" t="s">
        <v>1553</v>
      </c>
      <c r="N31" s="431">
        <v>0.191</v>
      </c>
      <c r="O31" s="429">
        <v>2.9969999999999999</v>
      </c>
      <c r="P31" s="429">
        <v>1.278</v>
      </c>
      <c r="Q31" s="428">
        <f t="shared" si="1"/>
        <v>1.6600000000000001</v>
      </c>
    </row>
    <row r="32" spans="2:17" x14ac:dyDescent="0.2">
      <c r="C32" s="898" t="str">
        <f>IF(MASTERSWITCH=1,"EVALUATION PERIOD EXPIRED!","")</f>
        <v/>
      </c>
      <c r="D32" s="898"/>
      <c r="E32" s="898"/>
      <c r="L32" s="435">
        <v>31</v>
      </c>
      <c r="M32" s="429" t="s">
        <v>1554</v>
      </c>
      <c r="N32" s="431">
        <v>0.25</v>
      </c>
      <c r="O32" s="429">
        <v>3.7650000000000001</v>
      </c>
      <c r="P32" s="431">
        <v>1.1599999999999999</v>
      </c>
      <c r="Q32" s="428">
        <f t="shared" si="1"/>
        <v>1.66</v>
      </c>
    </row>
    <row r="33" spans="3:17" x14ac:dyDescent="0.2">
      <c r="C33" s="898" t="str">
        <f>IF(MASTERSWITCH=1,"PLEASE PURCHASE LICENSE TO","")</f>
        <v/>
      </c>
      <c r="D33" s="898"/>
      <c r="E33" s="898"/>
      <c r="L33" s="435">
        <v>32</v>
      </c>
      <c r="M33" s="429" t="s">
        <v>1555</v>
      </c>
      <c r="N33" s="431">
        <v>0.38200000000000001</v>
      </c>
      <c r="O33" s="429">
        <v>5.2140000000000004</v>
      </c>
      <c r="P33" s="429">
        <v>0.89600000000000002</v>
      </c>
      <c r="Q33" s="428">
        <f t="shared" si="1"/>
        <v>1.6600000000000001</v>
      </c>
    </row>
    <row r="34" spans="3:17" x14ac:dyDescent="0.2">
      <c r="C34" s="898" t="str">
        <f>IF(MASTERSWITCH=1,"CONTINUE USING THIS PROGRAM","")</f>
        <v/>
      </c>
      <c r="D34" s="898"/>
      <c r="E34" s="898"/>
      <c r="L34" s="435">
        <v>33</v>
      </c>
      <c r="M34" s="429" t="s">
        <v>1556</v>
      </c>
      <c r="N34" s="431">
        <v>6.5000000000000002E-2</v>
      </c>
      <c r="O34" s="429">
        <v>1.274</v>
      </c>
      <c r="P34" s="431">
        <v>1.77</v>
      </c>
      <c r="Q34" s="428">
        <f t="shared" si="1"/>
        <v>1.9</v>
      </c>
    </row>
    <row r="35" spans="3:17" x14ac:dyDescent="0.2">
      <c r="L35" s="435">
        <v>34</v>
      </c>
      <c r="M35" s="429" t="s">
        <v>1557</v>
      </c>
      <c r="N35" s="431">
        <v>0.109</v>
      </c>
      <c r="O35" s="429">
        <v>2.085</v>
      </c>
      <c r="P35" s="429">
        <v>1.6819999999999999</v>
      </c>
      <c r="Q35" s="428">
        <f t="shared" si="1"/>
        <v>1.9</v>
      </c>
    </row>
    <row r="36" spans="3:17" x14ac:dyDescent="0.2">
      <c r="L36" s="435">
        <v>35</v>
      </c>
      <c r="M36" s="429" t="s">
        <v>1558</v>
      </c>
      <c r="N36" s="428">
        <v>0.14499999999999999</v>
      </c>
      <c r="O36" s="428">
        <v>2.718</v>
      </c>
      <c r="P36" s="431">
        <v>1.61</v>
      </c>
      <c r="Q36" s="428">
        <f t="shared" si="1"/>
        <v>1.9000000000000001</v>
      </c>
    </row>
    <row r="37" spans="3:17" x14ac:dyDescent="0.2">
      <c r="L37" s="435">
        <v>36</v>
      </c>
      <c r="M37" s="429" t="s">
        <v>1559</v>
      </c>
      <c r="N37" s="431">
        <v>0.2</v>
      </c>
      <c r="O37" s="428">
        <v>3.6309999999999998</v>
      </c>
      <c r="P37" s="431">
        <v>1.5</v>
      </c>
      <c r="Q37" s="428">
        <f t="shared" si="1"/>
        <v>1.9</v>
      </c>
    </row>
    <row r="38" spans="3:17" x14ac:dyDescent="0.2">
      <c r="L38" s="435">
        <v>37</v>
      </c>
      <c r="M38" s="429" t="s">
        <v>1560</v>
      </c>
      <c r="N38" s="431">
        <v>0.28100000000000003</v>
      </c>
      <c r="O38" s="428">
        <v>4.859</v>
      </c>
      <c r="P38" s="431">
        <v>1.3380000000000001</v>
      </c>
      <c r="Q38" s="428">
        <f t="shared" si="1"/>
        <v>1.9000000000000001</v>
      </c>
    </row>
    <row r="39" spans="3:17" x14ac:dyDescent="0.2">
      <c r="L39" s="435">
        <v>38</v>
      </c>
      <c r="M39" s="429" t="s">
        <v>1561</v>
      </c>
      <c r="N39" s="431">
        <v>0.4</v>
      </c>
      <c r="O39" s="428">
        <v>6.4080000000000004</v>
      </c>
      <c r="P39" s="431">
        <v>1.1000000000000001</v>
      </c>
      <c r="Q39" s="428">
        <f t="shared" si="1"/>
        <v>1.9000000000000001</v>
      </c>
    </row>
    <row r="40" spans="3:17" x14ac:dyDescent="0.2">
      <c r="L40" s="435">
        <v>39</v>
      </c>
      <c r="M40" s="429" t="s">
        <v>1565</v>
      </c>
      <c r="N40" s="428">
        <v>6.5000000000000002E-2</v>
      </c>
      <c r="O40" s="428">
        <v>1.6040000000000001</v>
      </c>
      <c r="P40" s="428">
        <v>2.2450000000000001</v>
      </c>
      <c r="Q40" s="428">
        <f t="shared" si="1"/>
        <v>2.375</v>
      </c>
    </row>
    <row r="41" spans="3:17" x14ac:dyDescent="0.2">
      <c r="L41" s="435">
        <v>40</v>
      </c>
      <c r="M41" s="429" t="s">
        <v>1566</v>
      </c>
      <c r="N41" s="428">
        <v>0.109</v>
      </c>
      <c r="O41" s="428">
        <v>2.6379999999999999</v>
      </c>
      <c r="P41" s="428">
        <v>2.157</v>
      </c>
      <c r="Q41" s="428">
        <f t="shared" si="1"/>
        <v>2.375</v>
      </c>
    </row>
    <row r="42" spans="3:17" x14ac:dyDescent="0.2">
      <c r="L42" s="435">
        <v>41</v>
      </c>
      <c r="M42" s="429" t="s">
        <v>1567</v>
      </c>
      <c r="N42" s="428">
        <v>0.154</v>
      </c>
      <c r="O42" s="428">
        <v>3.653</v>
      </c>
      <c r="P42" s="428">
        <v>2.0670000000000002</v>
      </c>
      <c r="Q42" s="428">
        <f t="shared" si="1"/>
        <v>2.375</v>
      </c>
    </row>
    <row r="43" spans="3:17" x14ac:dyDescent="0.2">
      <c r="L43" s="435">
        <v>42</v>
      </c>
      <c r="M43" s="429" t="s">
        <v>1568</v>
      </c>
      <c r="N43" s="428">
        <v>0.218</v>
      </c>
      <c r="O43" s="428">
        <v>5.0220000000000002</v>
      </c>
      <c r="P43" s="428">
        <v>1.9390000000000001</v>
      </c>
      <c r="Q43" s="428">
        <f t="shared" si="1"/>
        <v>2.375</v>
      </c>
    </row>
    <row r="44" spans="3:17" x14ac:dyDescent="0.2">
      <c r="L44" s="435">
        <v>43</v>
      </c>
      <c r="M44" s="429" t="s">
        <v>1569</v>
      </c>
      <c r="N44" s="428">
        <v>0.34300000000000003</v>
      </c>
      <c r="O44" s="428">
        <v>7.444</v>
      </c>
      <c r="P44" s="428">
        <v>1.6890000000000001</v>
      </c>
      <c r="Q44" s="428">
        <f t="shared" si="1"/>
        <v>2.375</v>
      </c>
    </row>
    <row r="45" spans="3:17" x14ac:dyDescent="0.2">
      <c r="L45" s="435">
        <v>44</v>
      </c>
      <c r="M45" s="429" t="s">
        <v>1570</v>
      </c>
      <c r="N45" s="428">
        <v>0.436</v>
      </c>
      <c r="O45" s="428">
        <v>9.0289999999999999</v>
      </c>
      <c r="P45" s="431">
        <v>1.5029999999999999</v>
      </c>
      <c r="Q45" s="428">
        <f t="shared" si="1"/>
        <v>2.375</v>
      </c>
    </row>
    <row r="46" spans="3:17" x14ac:dyDescent="0.2">
      <c r="L46" s="435">
        <v>45</v>
      </c>
      <c r="M46" s="429" t="s">
        <v>1571</v>
      </c>
      <c r="N46" s="428">
        <v>8.3000000000000004E-2</v>
      </c>
      <c r="O46" s="428">
        <v>2.4750000000000001</v>
      </c>
      <c r="P46" s="431">
        <v>2.7090000000000001</v>
      </c>
      <c r="Q46" s="428">
        <f t="shared" si="1"/>
        <v>2.875</v>
      </c>
    </row>
    <row r="47" spans="3:17" x14ac:dyDescent="0.2">
      <c r="L47" s="435">
        <v>46</v>
      </c>
      <c r="M47" s="429" t="s">
        <v>1572</v>
      </c>
      <c r="N47" s="431">
        <v>0.12</v>
      </c>
      <c r="O47" s="428">
        <v>3.5310000000000001</v>
      </c>
      <c r="P47" s="431">
        <v>2.6349999999999998</v>
      </c>
      <c r="Q47" s="428">
        <f t="shared" si="1"/>
        <v>2.875</v>
      </c>
    </row>
    <row r="48" spans="3:17" x14ac:dyDescent="0.2">
      <c r="L48" s="435">
        <v>47</v>
      </c>
      <c r="M48" s="429" t="s">
        <v>1573</v>
      </c>
      <c r="N48" s="431">
        <v>0.20300000000000001</v>
      </c>
      <c r="O48" s="428">
        <v>5.7930000000000001</v>
      </c>
      <c r="P48" s="431">
        <v>2.4689999999999999</v>
      </c>
      <c r="Q48" s="428">
        <f t="shared" si="1"/>
        <v>2.875</v>
      </c>
    </row>
    <row r="49" spans="12:17" x14ac:dyDescent="0.2">
      <c r="L49" s="435">
        <v>48</v>
      </c>
      <c r="M49" s="429" t="s">
        <v>1574</v>
      </c>
      <c r="N49" s="431">
        <v>0.27600000000000002</v>
      </c>
      <c r="O49" s="428">
        <v>7.6609999999999996</v>
      </c>
      <c r="P49" s="431">
        <v>2.323</v>
      </c>
      <c r="Q49" s="428">
        <f t="shared" si="1"/>
        <v>2.875</v>
      </c>
    </row>
    <row r="50" spans="12:17" x14ac:dyDescent="0.2">
      <c r="L50" s="435">
        <v>49</v>
      </c>
      <c r="M50" s="429" t="s">
        <v>1575</v>
      </c>
      <c r="N50" s="431">
        <v>0.375</v>
      </c>
      <c r="O50" s="428">
        <v>10.01</v>
      </c>
      <c r="P50" s="431">
        <v>2.125</v>
      </c>
      <c r="Q50" s="428">
        <f t="shared" si="1"/>
        <v>2.875</v>
      </c>
    </row>
    <row r="51" spans="12:17" x14ac:dyDescent="0.2">
      <c r="L51" s="435">
        <v>50</v>
      </c>
      <c r="M51" s="429" t="s">
        <v>1576</v>
      </c>
      <c r="N51" s="431">
        <v>0.55200000000000005</v>
      </c>
      <c r="O51" s="432">
        <v>13.7</v>
      </c>
      <c r="P51" s="431">
        <v>1.7709999999999999</v>
      </c>
      <c r="Q51" s="428">
        <f t="shared" si="1"/>
        <v>2.875</v>
      </c>
    </row>
    <row r="52" spans="12:17" x14ac:dyDescent="0.2">
      <c r="L52" s="435">
        <v>51</v>
      </c>
      <c r="M52" s="429" t="s">
        <v>1577</v>
      </c>
      <c r="N52" s="431">
        <v>8.3000000000000004E-2</v>
      </c>
      <c r="O52" s="428">
        <v>3.03</v>
      </c>
      <c r="P52" s="431">
        <v>3.3340000000000001</v>
      </c>
      <c r="Q52" s="428">
        <f t="shared" si="1"/>
        <v>3.5</v>
      </c>
    </row>
    <row r="53" spans="12:17" x14ac:dyDescent="0.2">
      <c r="L53" s="435">
        <v>52</v>
      </c>
      <c r="M53" s="429" t="s">
        <v>1578</v>
      </c>
      <c r="N53" s="431">
        <v>0.12</v>
      </c>
      <c r="O53" s="428">
        <v>4.33</v>
      </c>
      <c r="P53" s="431">
        <v>3.26</v>
      </c>
      <c r="Q53" s="428">
        <f t="shared" si="1"/>
        <v>3.5</v>
      </c>
    </row>
    <row r="54" spans="12:17" x14ac:dyDescent="0.2">
      <c r="L54" s="435">
        <v>53</v>
      </c>
      <c r="M54" s="429" t="s">
        <v>1579</v>
      </c>
      <c r="N54" s="431">
        <v>0.216</v>
      </c>
      <c r="O54" s="428">
        <v>7.58</v>
      </c>
      <c r="P54" s="431">
        <v>3.0680000000000001</v>
      </c>
      <c r="Q54" s="428">
        <f t="shared" si="1"/>
        <v>3.5</v>
      </c>
    </row>
    <row r="55" spans="12:17" x14ac:dyDescent="0.2">
      <c r="L55" s="435">
        <v>54</v>
      </c>
      <c r="M55" s="429" t="s">
        <v>1580</v>
      </c>
      <c r="N55" s="431">
        <v>0.3</v>
      </c>
      <c r="O55" s="428">
        <v>10.25</v>
      </c>
      <c r="P55" s="431">
        <v>2.9</v>
      </c>
      <c r="Q55" s="428">
        <f t="shared" si="1"/>
        <v>3.5</v>
      </c>
    </row>
    <row r="56" spans="12:17" x14ac:dyDescent="0.2">
      <c r="L56" s="435">
        <v>55</v>
      </c>
      <c r="M56" s="429" t="s">
        <v>1581</v>
      </c>
      <c r="N56" s="431">
        <v>0.437</v>
      </c>
      <c r="O56" s="428">
        <v>14.32</v>
      </c>
      <c r="P56" s="431">
        <v>2.6259999999999999</v>
      </c>
      <c r="Q56" s="428">
        <f t="shared" si="1"/>
        <v>3.5</v>
      </c>
    </row>
    <row r="57" spans="12:17" x14ac:dyDescent="0.2">
      <c r="L57" s="435">
        <v>56</v>
      </c>
      <c r="M57" s="429" t="s">
        <v>1582</v>
      </c>
      <c r="N57" s="431">
        <v>0.6</v>
      </c>
      <c r="O57" s="428">
        <v>18.579999999999998</v>
      </c>
      <c r="P57" s="431">
        <v>2.2999999999999998</v>
      </c>
      <c r="Q57" s="428">
        <f t="shared" si="1"/>
        <v>3.5</v>
      </c>
    </row>
    <row r="58" spans="12:17" x14ac:dyDescent="0.2">
      <c r="L58" s="435">
        <v>57</v>
      </c>
      <c r="M58" s="429" t="s">
        <v>1583</v>
      </c>
      <c r="N58" s="431">
        <v>8.3000000000000004E-2</v>
      </c>
      <c r="O58" s="428">
        <v>3.47</v>
      </c>
      <c r="P58" s="431">
        <v>3.8340000000000001</v>
      </c>
      <c r="Q58" s="428">
        <f t="shared" si="1"/>
        <v>4</v>
      </c>
    </row>
    <row r="59" spans="12:17" x14ac:dyDescent="0.2">
      <c r="L59" s="435">
        <v>58</v>
      </c>
      <c r="M59" s="429" t="s">
        <v>1584</v>
      </c>
      <c r="N59" s="431">
        <v>0.12</v>
      </c>
      <c r="O59" s="428">
        <v>4.97</v>
      </c>
      <c r="P59" s="431">
        <v>3.76</v>
      </c>
      <c r="Q59" s="428">
        <f t="shared" si="1"/>
        <v>4</v>
      </c>
    </row>
    <row r="60" spans="12:17" x14ac:dyDescent="0.2">
      <c r="L60" s="435">
        <v>59</v>
      </c>
      <c r="M60" s="429" t="s">
        <v>1585</v>
      </c>
      <c r="N60" s="431">
        <v>0.22600000000000001</v>
      </c>
      <c r="O60" s="428">
        <v>9.11</v>
      </c>
      <c r="P60" s="431">
        <v>3.548</v>
      </c>
      <c r="Q60" s="428">
        <f t="shared" si="1"/>
        <v>4</v>
      </c>
    </row>
    <row r="61" spans="12:17" x14ac:dyDescent="0.2">
      <c r="L61" s="435">
        <v>60</v>
      </c>
      <c r="M61" s="429" t="s">
        <v>1586</v>
      </c>
      <c r="N61" s="431">
        <v>0.318</v>
      </c>
      <c r="O61" s="428">
        <v>12.51</v>
      </c>
      <c r="P61" s="431">
        <v>3.3639999999999999</v>
      </c>
      <c r="Q61" s="428">
        <f t="shared" si="1"/>
        <v>4</v>
      </c>
    </row>
    <row r="62" spans="12:17" x14ac:dyDescent="0.2">
      <c r="L62" s="435">
        <v>61</v>
      </c>
      <c r="M62" s="429" t="s">
        <v>1587</v>
      </c>
      <c r="N62" s="431">
        <v>8.3000000000000004E-2</v>
      </c>
      <c r="O62" s="428">
        <v>3.92</v>
      </c>
      <c r="P62" s="431">
        <v>4.3339999999999996</v>
      </c>
      <c r="Q62" s="428">
        <f t="shared" si="1"/>
        <v>4.5</v>
      </c>
    </row>
    <row r="63" spans="12:17" x14ac:dyDescent="0.2">
      <c r="L63" s="435">
        <v>62</v>
      </c>
      <c r="M63" s="429" t="s">
        <v>1588</v>
      </c>
      <c r="N63" s="431">
        <v>0.12</v>
      </c>
      <c r="O63" s="428">
        <v>5.61</v>
      </c>
      <c r="P63" s="431">
        <v>4.26</v>
      </c>
      <c r="Q63" s="428">
        <f t="shared" si="1"/>
        <v>4.5</v>
      </c>
    </row>
    <row r="64" spans="12:17" x14ac:dyDescent="0.2">
      <c r="L64" s="435">
        <v>63</v>
      </c>
      <c r="M64" s="429" t="s">
        <v>1589</v>
      </c>
      <c r="N64" s="431">
        <v>0.23699999999999999</v>
      </c>
      <c r="O64" s="428">
        <v>10.79</v>
      </c>
      <c r="P64" s="431">
        <v>4.0259999999999998</v>
      </c>
      <c r="Q64" s="428">
        <f t="shared" si="1"/>
        <v>4.5</v>
      </c>
    </row>
    <row r="65" spans="12:17" x14ac:dyDescent="0.2">
      <c r="L65" s="435">
        <v>64</v>
      </c>
      <c r="M65" s="429" t="s">
        <v>1590</v>
      </c>
      <c r="N65" s="431">
        <v>0.33700000000000002</v>
      </c>
      <c r="O65" s="428">
        <v>14.98</v>
      </c>
      <c r="P65" s="431">
        <v>3.8260000000000001</v>
      </c>
      <c r="Q65" s="428">
        <f t="shared" si="1"/>
        <v>4.5</v>
      </c>
    </row>
    <row r="66" spans="12:17" x14ac:dyDescent="0.2">
      <c r="L66" s="435">
        <v>65</v>
      </c>
      <c r="M66" s="429" t="s">
        <v>1591</v>
      </c>
      <c r="N66" s="431">
        <v>0.437</v>
      </c>
      <c r="O66" s="428">
        <v>18.96</v>
      </c>
      <c r="P66" s="431">
        <v>3.6259999999999999</v>
      </c>
      <c r="Q66" s="428">
        <f t="shared" si="1"/>
        <v>4.5</v>
      </c>
    </row>
    <row r="67" spans="12:17" x14ac:dyDescent="0.2">
      <c r="L67" s="435">
        <v>66</v>
      </c>
      <c r="M67" s="429" t="s">
        <v>1592</v>
      </c>
      <c r="N67" s="431">
        <v>0.53100000000000003</v>
      </c>
      <c r="O67" s="428">
        <v>22.51</v>
      </c>
      <c r="P67" s="431">
        <v>3.4380000000000002</v>
      </c>
      <c r="Q67" s="428">
        <f t="shared" si="1"/>
        <v>4.5</v>
      </c>
    </row>
    <row r="68" spans="12:17" x14ac:dyDescent="0.2">
      <c r="L68" s="435">
        <v>67</v>
      </c>
      <c r="M68" s="429" t="s">
        <v>1593</v>
      </c>
      <c r="N68" s="431">
        <v>0.67400000000000004</v>
      </c>
      <c r="O68" s="428">
        <v>27.54</v>
      </c>
      <c r="P68" s="431">
        <v>3.1520000000000001</v>
      </c>
      <c r="Q68" s="428">
        <f t="shared" si="1"/>
        <v>4.5</v>
      </c>
    </row>
    <row r="69" spans="12:17" x14ac:dyDescent="0.2">
      <c r="L69" s="435">
        <v>68</v>
      </c>
      <c r="M69" s="429" t="s">
        <v>1594</v>
      </c>
      <c r="N69" s="431">
        <v>0.109</v>
      </c>
      <c r="O69" s="428">
        <v>6.35</v>
      </c>
      <c r="P69" s="431">
        <v>5.3449999999999998</v>
      </c>
      <c r="Q69" s="428">
        <f t="shared" si="1"/>
        <v>5.5629999999999997</v>
      </c>
    </row>
    <row r="70" spans="12:17" x14ac:dyDescent="0.2">
      <c r="L70" s="435">
        <v>69</v>
      </c>
      <c r="M70" s="429" t="s">
        <v>1595</v>
      </c>
      <c r="N70" s="431">
        <v>0.13400000000000001</v>
      </c>
      <c r="O70" s="428">
        <v>7.77</v>
      </c>
      <c r="P70" s="431">
        <v>5.2949999999999999</v>
      </c>
      <c r="Q70" s="428">
        <f t="shared" si="1"/>
        <v>5.5629999999999997</v>
      </c>
    </row>
    <row r="71" spans="12:17" x14ac:dyDescent="0.2">
      <c r="L71" s="435">
        <v>70</v>
      </c>
      <c r="M71" s="429" t="s">
        <v>1607</v>
      </c>
      <c r="N71" s="431">
        <v>0.25800000000000001</v>
      </c>
      <c r="O71" s="428">
        <v>14.62</v>
      </c>
      <c r="P71" s="431">
        <v>5.0469999999999997</v>
      </c>
      <c r="Q71" s="428">
        <f t="shared" si="1"/>
        <v>5.5629999999999997</v>
      </c>
    </row>
    <row r="72" spans="12:17" x14ac:dyDescent="0.2">
      <c r="L72" s="435">
        <v>71</v>
      </c>
      <c r="M72" s="429" t="s">
        <v>1608</v>
      </c>
      <c r="N72" s="431">
        <v>0.375</v>
      </c>
      <c r="O72" s="428">
        <v>20.78</v>
      </c>
      <c r="P72" s="431">
        <v>4.8129999999999997</v>
      </c>
      <c r="Q72" s="428">
        <f t="shared" si="1"/>
        <v>5.5629999999999997</v>
      </c>
    </row>
    <row r="73" spans="12:17" x14ac:dyDescent="0.2">
      <c r="L73" s="435">
        <v>72</v>
      </c>
      <c r="M73" s="429" t="s">
        <v>1609</v>
      </c>
      <c r="N73" s="431">
        <v>0.5</v>
      </c>
      <c r="O73" s="428">
        <v>27.04</v>
      </c>
      <c r="P73" s="431">
        <v>4.5629999999999997</v>
      </c>
      <c r="Q73" s="428">
        <f t="shared" si="1"/>
        <v>5.5629999999999997</v>
      </c>
    </row>
    <row r="74" spans="12:17" x14ac:dyDescent="0.2">
      <c r="L74" s="435">
        <v>73</v>
      </c>
      <c r="M74" s="429" t="s">
        <v>1610</v>
      </c>
      <c r="N74" s="431">
        <v>0.625</v>
      </c>
      <c r="O74" s="428">
        <v>32.96</v>
      </c>
      <c r="P74" s="431">
        <v>4.3129999999999997</v>
      </c>
      <c r="Q74" s="428">
        <f t="shared" si="1"/>
        <v>5.5629999999999997</v>
      </c>
    </row>
    <row r="75" spans="12:17" x14ac:dyDescent="0.2">
      <c r="L75" s="435">
        <v>74</v>
      </c>
      <c r="M75" s="429" t="s">
        <v>1611</v>
      </c>
      <c r="N75" s="431">
        <v>0.75</v>
      </c>
      <c r="O75" s="428">
        <v>38.549999999999997</v>
      </c>
      <c r="P75" s="431">
        <v>4.0629999999999997</v>
      </c>
      <c r="Q75" s="428">
        <f t="shared" si="1"/>
        <v>5.5629999999999997</v>
      </c>
    </row>
    <row r="76" spans="12:17" x14ac:dyDescent="0.2">
      <c r="L76" s="435">
        <v>75</v>
      </c>
      <c r="M76" s="429" t="s">
        <v>1612</v>
      </c>
      <c r="N76" s="431">
        <v>0.109</v>
      </c>
      <c r="O76" s="428">
        <v>5.37</v>
      </c>
      <c r="P76" s="431">
        <v>6.407</v>
      </c>
      <c r="Q76" s="428">
        <f t="shared" si="1"/>
        <v>6.625</v>
      </c>
    </row>
    <row r="77" spans="12:17" x14ac:dyDescent="0.2">
      <c r="L77" s="435">
        <v>76</v>
      </c>
      <c r="M77" s="429" t="s">
        <v>1613</v>
      </c>
      <c r="N77" s="431">
        <v>0.13400000000000001</v>
      </c>
      <c r="O77" s="428">
        <v>9.2899999999999991</v>
      </c>
      <c r="P77" s="431">
        <v>6.3570000000000002</v>
      </c>
      <c r="Q77" s="428">
        <f t="shared" si="1"/>
        <v>6.625</v>
      </c>
    </row>
    <row r="78" spans="12:17" x14ac:dyDescent="0.2">
      <c r="L78" s="435">
        <v>77</v>
      </c>
      <c r="M78" s="429" t="s">
        <v>1614</v>
      </c>
      <c r="N78" s="431">
        <v>0.28000000000000003</v>
      </c>
      <c r="O78" s="428">
        <v>18.97</v>
      </c>
      <c r="P78" s="431">
        <v>6.0650000000000004</v>
      </c>
      <c r="Q78" s="428">
        <f t="shared" si="1"/>
        <v>6.625</v>
      </c>
    </row>
    <row r="79" spans="12:17" x14ac:dyDescent="0.2">
      <c r="L79" s="435">
        <v>78</v>
      </c>
      <c r="M79" s="429" t="s">
        <v>1615</v>
      </c>
      <c r="N79" s="431">
        <v>0.432</v>
      </c>
      <c r="O79" s="428">
        <v>28.57</v>
      </c>
      <c r="P79" s="431">
        <v>5.7610000000000001</v>
      </c>
      <c r="Q79" s="428">
        <f t="shared" si="1"/>
        <v>6.625</v>
      </c>
    </row>
    <row r="80" spans="12:17" x14ac:dyDescent="0.2">
      <c r="L80" s="435">
        <v>79</v>
      </c>
      <c r="M80" s="429" t="s">
        <v>1616</v>
      </c>
      <c r="N80" s="431">
        <v>0.56200000000000006</v>
      </c>
      <c r="O80" s="428">
        <v>36.39</v>
      </c>
      <c r="P80" s="431">
        <v>5.5010000000000003</v>
      </c>
      <c r="Q80" s="428">
        <f t="shared" si="1"/>
        <v>6.625</v>
      </c>
    </row>
    <row r="81" spans="12:17" x14ac:dyDescent="0.2">
      <c r="L81" s="435">
        <v>80</v>
      </c>
      <c r="M81" s="429" t="s">
        <v>1617</v>
      </c>
      <c r="N81" s="431">
        <v>0.71799999999999997</v>
      </c>
      <c r="O81" s="432">
        <v>45.3</v>
      </c>
      <c r="P81" s="431">
        <v>5.1890000000000001</v>
      </c>
      <c r="Q81" s="428">
        <f t="shared" si="1"/>
        <v>6.625</v>
      </c>
    </row>
    <row r="82" spans="12:17" x14ac:dyDescent="0.2">
      <c r="L82" s="435">
        <v>81</v>
      </c>
      <c r="M82" s="429" t="s">
        <v>1618</v>
      </c>
      <c r="N82" s="431">
        <v>0.86399999999999999</v>
      </c>
      <c r="O82" s="428">
        <v>53.16</v>
      </c>
      <c r="P82" s="431">
        <v>4.8970000000000002</v>
      </c>
      <c r="Q82" s="428">
        <f t="shared" si="1"/>
        <v>6.625</v>
      </c>
    </row>
    <row r="83" spans="12:17" x14ac:dyDescent="0.2">
      <c r="L83" s="435">
        <v>82</v>
      </c>
      <c r="M83" s="429" t="s">
        <v>1619</v>
      </c>
      <c r="N83" s="431">
        <v>0.109</v>
      </c>
      <c r="O83" s="428">
        <v>9.91</v>
      </c>
      <c r="P83" s="431">
        <v>8.407</v>
      </c>
      <c r="Q83" s="428">
        <f t="shared" si="1"/>
        <v>8.625</v>
      </c>
    </row>
    <row r="84" spans="12:17" x14ac:dyDescent="0.2">
      <c r="L84" s="435">
        <v>83</v>
      </c>
      <c r="M84" s="429" t="s">
        <v>1620</v>
      </c>
      <c r="N84" s="431">
        <v>0.14799999999999999</v>
      </c>
      <c r="O84" s="433">
        <v>13.4</v>
      </c>
      <c r="P84" s="431">
        <v>8.3290000000000006</v>
      </c>
      <c r="Q84" s="428">
        <f t="shared" si="1"/>
        <v>8.625</v>
      </c>
    </row>
    <row r="85" spans="12:17" x14ac:dyDescent="0.2">
      <c r="L85" s="435">
        <v>84</v>
      </c>
      <c r="M85" s="429" t="s">
        <v>1621</v>
      </c>
      <c r="N85" s="431">
        <v>0.25</v>
      </c>
      <c r="O85" s="428">
        <v>22.36</v>
      </c>
      <c r="P85" s="431">
        <v>8.125</v>
      </c>
      <c r="Q85" s="428">
        <f t="shared" si="1"/>
        <v>8.625</v>
      </c>
    </row>
    <row r="86" spans="12:17" x14ac:dyDescent="0.2">
      <c r="L86" s="435">
        <v>85</v>
      </c>
      <c r="M86" s="429" t="s">
        <v>1622</v>
      </c>
      <c r="N86" s="431">
        <v>0.27700000000000002</v>
      </c>
      <c r="O86" s="433">
        <v>24.7</v>
      </c>
      <c r="P86" s="431">
        <v>8.0709999999999997</v>
      </c>
      <c r="Q86" s="428">
        <f t="shared" si="1"/>
        <v>8.625</v>
      </c>
    </row>
    <row r="87" spans="12:17" x14ac:dyDescent="0.2">
      <c r="L87" s="435">
        <v>86</v>
      </c>
      <c r="M87" s="429" t="s">
        <v>1623</v>
      </c>
      <c r="N87" s="431">
        <v>0.32200000000000001</v>
      </c>
      <c r="O87" s="428">
        <v>28.55</v>
      </c>
      <c r="P87" s="431">
        <v>7.9809999999999999</v>
      </c>
      <c r="Q87" s="428">
        <f t="shared" si="1"/>
        <v>8.625</v>
      </c>
    </row>
    <row r="88" spans="12:17" x14ac:dyDescent="0.2">
      <c r="L88" s="435">
        <v>87</v>
      </c>
      <c r="M88" s="429" t="s">
        <v>1624</v>
      </c>
      <c r="N88" s="431">
        <v>0.40600000000000003</v>
      </c>
      <c r="O88" s="428">
        <v>35.64</v>
      </c>
      <c r="P88" s="431">
        <v>7.8129999999999997</v>
      </c>
      <c r="Q88" s="428">
        <f t="shared" si="1"/>
        <v>8.625</v>
      </c>
    </row>
    <row r="89" spans="12:17" x14ac:dyDescent="0.2">
      <c r="L89" s="435">
        <v>88</v>
      </c>
      <c r="M89" s="429" t="s">
        <v>1625</v>
      </c>
      <c r="N89" s="431">
        <v>0.5</v>
      </c>
      <c r="O89" s="428">
        <v>43.39</v>
      </c>
      <c r="P89" s="431">
        <v>7.625</v>
      </c>
      <c r="Q89" s="428">
        <f t="shared" ref="Q89:Q152" si="2">P89+(N89*2)</f>
        <v>8.625</v>
      </c>
    </row>
    <row r="90" spans="12:17" x14ac:dyDescent="0.2">
      <c r="L90" s="435">
        <v>89</v>
      </c>
      <c r="M90" s="429" t="s">
        <v>1626</v>
      </c>
      <c r="N90" s="428">
        <v>0.59299999999999997</v>
      </c>
      <c r="O90" s="428">
        <v>50.87</v>
      </c>
      <c r="P90" s="428">
        <v>7.4390000000000001</v>
      </c>
      <c r="Q90" s="428">
        <f t="shared" si="2"/>
        <v>8.625</v>
      </c>
    </row>
    <row r="91" spans="12:17" x14ac:dyDescent="0.2">
      <c r="L91" s="435">
        <v>90</v>
      </c>
      <c r="M91" s="429" t="s">
        <v>1627</v>
      </c>
      <c r="N91" s="428">
        <v>0.71799999999999997</v>
      </c>
      <c r="O91" s="428">
        <v>60.63</v>
      </c>
      <c r="P91" s="428">
        <v>7.1890000000000001</v>
      </c>
      <c r="Q91" s="428">
        <f t="shared" si="2"/>
        <v>8.625</v>
      </c>
    </row>
    <row r="92" spans="12:17" x14ac:dyDescent="0.2">
      <c r="L92" s="435">
        <v>91</v>
      </c>
      <c r="M92" s="429" t="s">
        <v>1628</v>
      </c>
      <c r="N92" s="431">
        <v>0.81200000000000006</v>
      </c>
      <c r="O92" s="428">
        <v>67.760000000000005</v>
      </c>
      <c r="P92" s="428">
        <v>7.0010000000000003</v>
      </c>
      <c r="Q92" s="428">
        <f t="shared" si="2"/>
        <v>8.625</v>
      </c>
    </row>
    <row r="93" spans="12:17" x14ac:dyDescent="0.2">
      <c r="L93" s="435">
        <v>92</v>
      </c>
      <c r="M93" s="429" t="s">
        <v>1629</v>
      </c>
      <c r="N93" s="428">
        <v>0.875</v>
      </c>
      <c r="O93" s="428">
        <v>72.42</v>
      </c>
      <c r="P93" s="428">
        <v>6.875</v>
      </c>
      <c r="Q93" s="428">
        <f t="shared" si="2"/>
        <v>8.625</v>
      </c>
    </row>
    <row r="94" spans="12:17" x14ac:dyDescent="0.2">
      <c r="L94" s="435">
        <v>93</v>
      </c>
      <c r="M94" s="429" t="s">
        <v>1630</v>
      </c>
      <c r="N94" s="428">
        <v>0.90600000000000003</v>
      </c>
      <c r="O94" s="428">
        <v>74.69</v>
      </c>
      <c r="P94" s="428">
        <v>6.8129999999999997</v>
      </c>
      <c r="Q94" s="428">
        <f t="shared" si="2"/>
        <v>8.625</v>
      </c>
    </row>
    <row r="95" spans="12:17" x14ac:dyDescent="0.2">
      <c r="L95" s="435">
        <v>94</v>
      </c>
      <c r="M95" s="429" t="s">
        <v>1631</v>
      </c>
      <c r="N95" s="428">
        <v>0.13400000000000001</v>
      </c>
      <c r="O95" s="428">
        <v>15.15</v>
      </c>
      <c r="P95" s="428">
        <v>10.481999999999999</v>
      </c>
      <c r="Q95" s="428">
        <f t="shared" si="2"/>
        <v>10.75</v>
      </c>
    </row>
    <row r="96" spans="12:17" x14ac:dyDescent="0.2">
      <c r="L96" s="435">
        <v>95</v>
      </c>
      <c r="M96" s="429" t="s">
        <v>1632</v>
      </c>
      <c r="N96" s="428">
        <v>0.16500000000000001</v>
      </c>
      <c r="O96" s="432">
        <v>18.7</v>
      </c>
      <c r="P96" s="431">
        <v>10.42</v>
      </c>
      <c r="Q96" s="428">
        <f t="shared" si="2"/>
        <v>10.75</v>
      </c>
    </row>
    <row r="97" spans="12:17" x14ac:dyDescent="0.2">
      <c r="L97" s="435">
        <v>96</v>
      </c>
      <c r="M97" s="429" t="s">
        <v>1633</v>
      </c>
      <c r="N97" s="431">
        <v>0.25</v>
      </c>
      <c r="O97" s="428">
        <v>28.04</v>
      </c>
      <c r="P97" s="431">
        <v>10.25</v>
      </c>
      <c r="Q97" s="428">
        <f t="shared" si="2"/>
        <v>10.75</v>
      </c>
    </row>
    <row r="98" spans="12:17" x14ac:dyDescent="0.2">
      <c r="L98" s="435">
        <v>97</v>
      </c>
      <c r="M98" s="429" t="s">
        <v>1634</v>
      </c>
      <c r="N98" s="428">
        <v>0.307</v>
      </c>
      <c r="O98" s="428">
        <v>34.24</v>
      </c>
      <c r="P98" s="428">
        <v>10.135999999999999</v>
      </c>
      <c r="Q98" s="428">
        <f t="shared" si="2"/>
        <v>10.75</v>
      </c>
    </row>
    <row r="99" spans="12:17" x14ac:dyDescent="0.2">
      <c r="L99" s="435">
        <v>98</v>
      </c>
      <c r="M99" s="429" t="s">
        <v>1635</v>
      </c>
      <c r="N99" s="428">
        <v>0.36499999999999999</v>
      </c>
      <c r="O99" s="428">
        <v>40.479999999999997</v>
      </c>
      <c r="P99" s="431">
        <v>10.02</v>
      </c>
      <c r="Q99" s="428">
        <f t="shared" si="2"/>
        <v>10.75</v>
      </c>
    </row>
    <row r="100" spans="12:17" x14ac:dyDescent="0.2">
      <c r="L100" s="435">
        <v>99</v>
      </c>
      <c r="M100" s="429" t="s">
        <v>1636</v>
      </c>
      <c r="N100" s="431">
        <v>0.5</v>
      </c>
      <c r="O100" s="428">
        <v>54.74</v>
      </c>
      <c r="P100" s="431">
        <v>9.75</v>
      </c>
      <c r="Q100" s="428">
        <f t="shared" si="2"/>
        <v>10.75</v>
      </c>
    </row>
    <row r="101" spans="12:17" x14ac:dyDescent="0.2">
      <c r="L101" s="435">
        <v>100</v>
      </c>
      <c r="M101" s="429" t="s">
        <v>1637</v>
      </c>
      <c r="N101" s="428">
        <v>0.59299999999999997</v>
      </c>
      <c r="O101" s="428">
        <v>64.33</v>
      </c>
      <c r="P101" s="428">
        <v>9.5640000000000001</v>
      </c>
      <c r="Q101" s="428">
        <f t="shared" si="2"/>
        <v>10.75</v>
      </c>
    </row>
    <row r="102" spans="12:17" x14ac:dyDescent="0.2">
      <c r="L102" s="435">
        <v>101</v>
      </c>
      <c r="M102" s="429" t="s">
        <v>1638</v>
      </c>
      <c r="N102" s="428">
        <v>0.71799999999999997</v>
      </c>
      <c r="O102" s="428">
        <v>76.930000000000007</v>
      </c>
      <c r="P102" s="428">
        <v>9.3140000000000001</v>
      </c>
      <c r="Q102" s="428">
        <f t="shared" si="2"/>
        <v>10.75</v>
      </c>
    </row>
    <row r="103" spans="12:17" x14ac:dyDescent="0.2">
      <c r="L103" s="435">
        <v>102</v>
      </c>
      <c r="M103" s="429" t="s">
        <v>1639</v>
      </c>
      <c r="N103" s="428">
        <v>0.84299999999999997</v>
      </c>
      <c r="O103" s="432">
        <v>89.2</v>
      </c>
      <c r="P103" s="428">
        <v>9.0640000000000001</v>
      </c>
      <c r="Q103" s="428">
        <f t="shared" si="2"/>
        <v>10.75</v>
      </c>
    </row>
    <row r="104" spans="12:17" x14ac:dyDescent="0.2">
      <c r="L104" s="435">
        <v>103</v>
      </c>
      <c r="M104" s="429" t="s">
        <v>1640</v>
      </c>
      <c r="N104" s="431">
        <v>1</v>
      </c>
      <c r="O104" s="428">
        <v>104.13</v>
      </c>
      <c r="P104" s="431">
        <v>8.75</v>
      </c>
      <c r="Q104" s="428">
        <f t="shared" si="2"/>
        <v>10.75</v>
      </c>
    </row>
    <row r="105" spans="12:17" x14ac:dyDescent="0.2">
      <c r="L105" s="435">
        <v>104</v>
      </c>
      <c r="M105" s="429" t="s">
        <v>1641</v>
      </c>
      <c r="N105" s="428">
        <v>1.125</v>
      </c>
      <c r="O105" s="428">
        <v>115.65</v>
      </c>
      <c r="P105" s="431">
        <v>8.5</v>
      </c>
      <c r="Q105" s="428">
        <f t="shared" si="2"/>
        <v>10.75</v>
      </c>
    </row>
    <row r="106" spans="12:17" x14ac:dyDescent="0.2">
      <c r="L106" s="435">
        <v>105</v>
      </c>
      <c r="M106" s="429" t="s">
        <v>1642</v>
      </c>
      <c r="N106" s="428">
        <v>0.16500000000000001</v>
      </c>
      <c r="O106" s="428">
        <v>19.559999999999999</v>
      </c>
      <c r="P106" s="431">
        <v>12.42</v>
      </c>
      <c r="Q106" s="428">
        <f t="shared" si="2"/>
        <v>12.75</v>
      </c>
    </row>
    <row r="107" spans="12:17" x14ac:dyDescent="0.2">
      <c r="L107" s="435">
        <v>106</v>
      </c>
      <c r="M107" s="429" t="s">
        <v>1643</v>
      </c>
      <c r="N107" s="431">
        <v>0.18</v>
      </c>
      <c r="O107" s="432">
        <v>24.2</v>
      </c>
      <c r="P107" s="431">
        <v>12.39</v>
      </c>
      <c r="Q107" s="428">
        <f t="shared" si="2"/>
        <v>12.75</v>
      </c>
    </row>
    <row r="108" spans="12:17" x14ac:dyDescent="0.2">
      <c r="L108" s="435">
        <v>107</v>
      </c>
      <c r="M108" s="429" t="s">
        <v>1644</v>
      </c>
      <c r="N108" s="431">
        <v>0.25</v>
      </c>
      <c r="O108" s="428">
        <v>33.380000000000003</v>
      </c>
      <c r="P108" s="431">
        <v>12.25</v>
      </c>
      <c r="Q108" s="428">
        <f t="shared" si="2"/>
        <v>12.75</v>
      </c>
    </row>
    <row r="109" spans="12:17" x14ac:dyDescent="0.2">
      <c r="L109" s="435">
        <v>108</v>
      </c>
      <c r="M109" s="429" t="s">
        <v>1645</v>
      </c>
      <c r="N109" s="431">
        <v>0.33</v>
      </c>
      <c r="O109" s="428">
        <v>43.77</v>
      </c>
      <c r="P109" s="431">
        <v>12.09</v>
      </c>
      <c r="Q109" s="428">
        <f t="shared" si="2"/>
        <v>12.75</v>
      </c>
    </row>
    <row r="110" spans="12:17" x14ac:dyDescent="0.2">
      <c r="L110" s="435">
        <v>109</v>
      </c>
      <c r="M110" s="429" t="s">
        <v>1646</v>
      </c>
      <c r="N110" s="428">
        <v>0.375</v>
      </c>
      <c r="O110" s="428">
        <v>49.56</v>
      </c>
      <c r="P110" s="431">
        <v>12</v>
      </c>
      <c r="Q110" s="428">
        <f t="shared" si="2"/>
        <v>12.75</v>
      </c>
    </row>
    <row r="111" spans="12:17" x14ac:dyDescent="0.2">
      <c r="L111" s="435">
        <v>110</v>
      </c>
      <c r="M111" s="429" t="s">
        <v>1681</v>
      </c>
      <c r="N111" s="428">
        <v>0.40600000000000003</v>
      </c>
      <c r="O111" s="428">
        <v>53.53</v>
      </c>
      <c r="P111" s="428">
        <v>11.938000000000001</v>
      </c>
      <c r="Q111" s="428">
        <f t="shared" si="2"/>
        <v>12.75</v>
      </c>
    </row>
    <row r="112" spans="12:17" x14ac:dyDescent="0.2">
      <c r="L112" s="435">
        <v>111</v>
      </c>
      <c r="M112" s="429" t="s">
        <v>1682</v>
      </c>
      <c r="N112" s="431">
        <v>0.5</v>
      </c>
      <c r="O112" s="428">
        <v>65.42</v>
      </c>
      <c r="P112" s="431">
        <v>11.75</v>
      </c>
      <c r="Q112" s="428">
        <f t="shared" si="2"/>
        <v>12.75</v>
      </c>
    </row>
    <row r="113" spans="12:17" x14ac:dyDescent="0.2">
      <c r="L113" s="435">
        <v>112</v>
      </c>
      <c r="M113" s="429" t="s">
        <v>1683</v>
      </c>
      <c r="N113" s="428">
        <v>0.56200000000000006</v>
      </c>
      <c r="O113" s="428">
        <v>73.16</v>
      </c>
      <c r="P113" s="428">
        <v>11.625999999999999</v>
      </c>
      <c r="Q113" s="428">
        <f t="shared" si="2"/>
        <v>12.75</v>
      </c>
    </row>
    <row r="114" spans="12:17" x14ac:dyDescent="0.2">
      <c r="L114" s="435">
        <v>113</v>
      </c>
      <c r="M114" s="429" t="s">
        <v>1684</v>
      </c>
      <c r="N114" s="428">
        <v>0.68700000000000006</v>
      </c>
      <c r="O114" s="428">
        <v>88.51</v>
      </c>
      <c r="P114" s="428">
        <v>11.375999999999999</v>
      </c>
      <c r="Q114" s="428">
        <f t="shared" si="2"/>
        <v>12.75</v>
      </c>
    </row>
    <row r="115" spans="12:17" x14ac:dyDescent="0.2">
      <c r="L115" s="435">
        <v>114</v>
      </c>
      <c r="M115" s="429" t="s">
        <v>1685</v>
      </c>
      <c r="N115" s="428">
        <v>0.84299999999999997</v>
      </c>
      <c r="O115" s="432">
        <v>107.2</v>
      </c>
      <c r="P115" s="428">
        <v>11.064</v>
      </c>
      <c r="Q115" s="428">
        <f t="shared" si="2"/>
        <v>12.75</v>
      </c>
    </row>
    <row r="116" spans="12:17" x14ac:dyDescent="0.2">
      <c r="L116" s="435">
        <v>115</v>
      </c>
      <c r="M116" s="429" t="s">
        <v>1686</v>
      </c>
      <c r="N116" s="431">
        <v>1</v>
      </c>
      <c r="O116" s="428">
        <v>125.49</v>
      </c>
      <c r="P116" s="431">
        <v>10.75</v>
      </c>
      <c r="Q116" s="428">
        <f t="shared" si="2"/>
        <v>12.75</v>
      </c>
    </row>
    <row r="117" spans="12:17" x14ac:dyDescent="0.2">
      <c r="L117" s="435">
        <v>116</v>
      </c>
      <c r="M117" s="429" t="s">
        <v>1687</v>
      </c>
      <c r="N117" s="428">
        <v>1.125</v>
      </c>
      <c r="O117" s="428">
        <v>139.68</v>
      </c>
      <c r="P117" s="431">
        <v>10.5</v>
      </c>
      <c r="Q117" s="428">
        <f t="shared" si="2"/>
        <v>12.75</v>
      </c>
    </row>
    <row r="118" spans="12:17" x14ac:dyDescent="0.2">
      <c r="L118" s="435">
        <v>117</v>
      </c>
      <c r="M118" s="429" t="s">
        <v>1688</v>
      </c>
      <c r="N118" s="428">
        <v>1.3120000000000001</v>
      </c>
      <c r="O118" s="428">
        <v>160.27000000000001</v>
      </c>
      <c r="P118" s="428">
        <v>10.125999999999999</v>
      </c>
      <c r="Q118" s="428">
        <f t="shared" si="2"/>
        <v>12.75</v>
      </c>
    </row>
    <row r="119" spans="12:17" x14ac:dyDescent="0.2">
      <c r="L119" s="435">
        <v>118</v>
      </c>
      <c r="M119" s="429" t="s">
        <v>1689</v>
      </c>
      <c r="N119" s="431">
        <v>0.25</v>
      </c>
      <c r="O119" s="428">
        <v>36.71</v>
      </c>
      <c r="P119" s="431">
        <v>13.5</v>
      </c>
      <c r="Q119" s="428">
        <f t="shared" si="2"/>
        <v>14</v>
      </c>
    </row>
    <row r="120" spans="12:17" x14ac:dyDescent="0.2">
      <c r="L120" s="435">
        <v>119</v>
      </c>
      <c r="M120" s="429" t="s">
        <v>1690</v>
      </c>
      <c r="N120" s="428">
        <v>0.312</v>
      </c>
      <c r="O120" s="428">
        <v>45.68</v>
      </c>
      <c r="P120" s="428">
        <v>13.375999999999999</v>
      </c>
      <c r="Q120" s="428">
        <f t="shared" si="2"/>
        <v>14</v>
      </c>
    </row>
    <row r="121" spans="12:17" x14ac:dyDescent="0.2">
      <c r="L121" s="435">
        <v>120</v>
      </c>
      <c r="M121" s="429" t="s">
        <v>1691</v>
      </c>
      <c r="N121" s="428">
        <v>0.375</v>
      </c>
      <c r="O121" s="428">
        <v>54.57</v>
      </c>
      <c r="P121" s="431">
        <v>13.25</v>
      </c>
      <c r="Q121" s="428">
        <f t="shared" si="2"/>
        <v>14</v>
      </c>
    </row>
    <row r="122" spans="12:17" x14ac:dyDescent="0.2">
      <c r="L122" s="435">
        <v>121</v>
      </c>
      <c r="M122" s="429" t="s">
        <v>1692</v>
      </c>
      <c r="N122" s="428">
        <v>0.437</v>
      </c>
      <c r="O122" s="428">
        <v>63.37</v>
      </c>
      <c r="P122" s="428">
        <v>13.125999999999999</v>
      </c>
      <c r="Q122" s="428">
        <f t="shared" si="2"/>
        <v>14</v>
      </c>
    </row>
    <row r="123" spans="12:17" x14ac:dyDescent="0.2">
      <c r="L123" s="435">
        <v>122</v>
      </c>
      <c r="M123" s="429" t="s">
        <v>1693</v>
      </c>
      <c r="N123" s="431">
        <v>0.5</v>
      </c>
      <c r="O123" s="428">
        <v>72.09</v>
      </c>
      <c r="P123" s="431">
        <v>13</v>
      </c>
      <c r="Q123" s="428">
        <f t="shared" si="2"/>
        <v>14</v>
      </c>
    </row>
    <row r="124" spans="12:17" x14ac:dyDescent="0.2">
      <c r="L124" s="435">
        <v>123</v>
      </c>
      <c r="M124" s="429" t="s">
        <v>1695</v>
      </c>
      <c r="N124" s="428">
        <v>0.59299999999999997</v>
      </c>
      <c r="O124" s="428">
        <v>84.91</v>
      </c>
      <c r="P124" s="428">
        <v>12.814</v>
      </c>
      <c r="Q124" s="428">
        <f t="shared" si="2"/>
        <v>14</v>
      </c>
    </row>
    <row r="125" spans="12:17" x14ac:dyDescent="0.2">
      <c r="L125" s="435">
        <v>124</v>
      </c>
      <c r="M125" s="429" t="s">
        <v>1696</v>
      </c>
      <c r="N125" s="431">
        <v>0.75</v>
      </c>
      <c r="O125" s="428">
        <v>106.13</v>
      </c>
      <c r="P125" s="431">
        <v>12.5</v>
      </c>
      <c r="Q125" s="428">
        <f t="shared" si="2"/>
        <v>14</v>
      </c>
    </row>
    <row r="126" spans="12:17" x14ac:dyDescent="0.2">
      <c r="L126" s="435">
        <v>125</v>
      </c>
      <c r="M126" s="429" t="s">
        <v>1697</v>
      </c>
      <c r="N126" s="428">
        <v>0.93700000000000006</v>
      </c>
      <c r="O126" s="428">
        <v>130.72999999999999</v>
      </c>
      <c r="P126" s="428">
        <v>12.125999999999999</v>
      </c>
      <c r="Q126" s="428">
        <f t="shared" si="2"/>
        <v>14</v>
      </c>
    </row>
    <row r="127" spans="12:17" x14ac:dyDescent="0.2">
      <c r="L127" s="435">
        <v>126</v>
      </c>
      <c r="M127" s="429" t="s">
        <v>1698</v>
      </c>
      <c r="N127" s="428">
        <v>1.093</v>
      </c>
      <c r="O127" s="428">
        <v>150.66999999999999</v>
      </c>
      <c r="P127" s="428">
        <v>11.814</v>
      </c>
      <c r="Q127" s="428">
        <f t="shared" si="2"/>
        <v>14</v>
      </c>
    </row>
    <row r="128" spans="12:17" x14ac:dyDescent="0.2">
      <c r="L128" s="435">
        <v>127</v>
      </c>
      <c r="M128" s="429" t="s">
        <v>1699</v>
      </c>
      <c r="N128" s="431">
        <v>1.25</v>
      </c>
      <c r="O128" s="428">
        <v>170.22</v>
      </c>
      <c r="P128" s="431">
        <v>11.5</v>
      </c>
      <c r="Q128" s="428">
        <f t="shared" si="2"/>
        <v>14</v>
      </c>
    </row>
    <row r="129" spans="12:17" x14ac:dyDescent="0.2">
      <c r="L129" s="435">
        <v>128</v>
      </c>
      <c r="M129" s="429" t="s">
        <v>1700</v>
      </c>
      <c r="N129" s="428">
        <v>1.4059999999999999</v>
      </c>
      <c r="O129" s="428">
        <v>189.12</v>
      </c>
      <c r="P129" s="428">
        <v>11.188000000000001</v>
      </c>
      <c r="Q129" s="428">
        <f t="shared" si="2"/>
        <v>14</v>
      </c>
    </row>
    <row r="130" spans="12:17" x14ac:dyDescent="0.2">
      <c r="L130" s="435">
        <v>129</v>
      </c>
      <c r="M130" s="429" t="s">
        <v>1701</v>
      </c>
      <c r="N130" s="431">
        <v>0.25</v>
      </c>
      <c r="O130" s="428">
        <v>24.05</v>
      </c>
      <c r="P130" s="431">
        <v>15.5</v>
      </c>
      <c r="Q130" s="428">
        <f t="shared" si="2"/>
        <v>16</v>
      </c>
    </row>
    <row r="131" spans="12:17" x14ac:dyDescent="0.2">
      <c r="L131" s="435">
        <v>130</v>
      </c>
      <c r="M131" s="429" t="s">
        <v>1702</v>
      </c>
      <c r="N131" s="428">
        <v>0.312</v>
      </c>
      <c r="O131" s="428">
        <v>52.36</v>
      </c>
      <c r="P131" s="428">
        <v>15.375999999999999</v>
      </c>
      <c r="Q131" s="428">
        <f t="shared" si="2"/>
        <v>16</v>
      </c>
    </row>
    <row r="132" spans="12:17" x14ac:dyDescent="0.2">
      <c r="L132" s="435">
        <v>131</v>
      </c>
      <c r="M132" s="429" t="s">
        <v>1703</v>
      </c>
      <c r="N132" s="428">
        <v>0.375</v>
      </c>
      <c r="O132" s="428">
        <v>62.58</v>
      </c>
      <c r="P132" s="431">
        <v>15.25</v>
      </c>
      <c r="Q132" s="428">
        <f t="shared" si="2"/>
        <v>16</v>
      </c>
    </row>
    <row r="133" spans="12:17" x14ac:dyDescent="0.2">
      <c r="L133" s="435">
        <v>132</v>
      </c>
      <c r="M133" s="429" t="s">
        <v>1704</v>
      </c>
      <c r="N133" s="431">
        <v>0.5</v>
      </c>
      <c r="O133" s="428">
        <v>82.77</v>
      </c>
      <c r="P133" s="434">
        <v>15</v>
      </c>
      <c r="Q133" s="428">
        <f t="shared" si="2"/>
        <v>16</v>
      </c>
    </row>
    <row r="134" spans="12:17" x14ac:dyDescent="0.2">
      <c r="L134" s="435">
        <v>133</v>
      </c>
      <c r="M134" s="429" t="s">
        <v>1705</v>
      </c>
      <c r="N134" s="428">
        <v>0.65600000000000003</v>
      </c>
      <c r="O134" s="432">
        <v>107.5</v>
      </c>
      <c r="P134" s="428">
        <v>14.688000000000001</v>
      </c>
      <c r="Q134" s="428">
        <f t="shared" si="2"/>
        <v>16</v>
      </c>
    </row>
    <row r="135" spans="12:17" x14ac:dyDescent="0.2">
      <c r="L135" s="435">
        <v>134</v>
      </c>
      <c r="M135" s="429" t="s">
        <v>1706</v>
      </c>
      <c r="N135" s="428">
        <v>0.84299999999999997</v>
      </c>
      <c r="O135" s="428">
        <v>136.46</v>
      </c>
      <c r="P135" s="428">
        <v>14.314</v>
      </c>
      <c r="Q135" s="428">
        <f t="shared" si="2"/>
        <v>16</v>
      </c>
    </row>
    <row r="136" spans="12:17" x14ac:dyDescent="0.2">
      <c r="L136" s="435">
        <v>135</v>
      </c>
      <c r="M136" s="429" t="s">
        <v>1707</v>
      </c>
      <c r="N136" s="428">
        <v>1.0309999999999999</v>
      </c>
      <c r="O136" s="428">
        <v>164.83</v>
      </c>
      <c r="P136" s="428">
        <v>13.938000000000001</v>
      </c>
      <c r="Q136" s="428">
        <f t="shared" si="2"/>
        <v>16</v>
      </c>
    </row>
    <row r="137" spans="12:17" x14ac:dyDescent="0.2">
      <c r="L137" s="435">
        <v>136</v>
      </c>
      <c r="M137" s="429" t="s">
        <v>1708</v>
      </c>
      <c r="N137" s="428">
        <v>1.218</v>
      </c>
      <c r="O137" s="428">
        <v>192.29</v>
      </c>
      <c r="P137" s="428">
        <v>13.564</v>
      </c>
      <c r="Q137" s="428">
        <f t="shared" si="2"/>
        <v>16</v>
      </c>
    </row>
    <row r="138" spans="12:17" x14ac:dyDescent="0.2">
      <c r="L138" s="435">
        <v>137</v>
      </c>
      <c r="M138" s="429" t="s">
        <v>1736</v>
      </c>
      <c r="N138" s="428">
        <v>1.4370000000000001</v>
      </c>
      <c r="O138" s="428">
        <v>223.5</v>
      </c>
      <c r="P138" s="428">
        <v>13.125999999999999</v>
      </c>
      <c r="Q138" s="428">
        <f t="shared" si="2"/>
        <v>16</v>
      </c>
    </row>
    <row r="139" spans="12:17" x14ac:dyDescent="0.2">
      <c r="L139" s="435">
        <v>138</v>
      </c>
      <c r="M139" s="429" t="s">
        <v>1737</v>
      </c>
      <c r="N139" s="428">
        <v>1.593</v>
      </c>
      <c r="O139" s="428">
        <v>245.11</v>
      </c>
      <c r="P139" s="428">
        <v>12.814</v>
      </c>
      <c r="Q139" s="428">
        <f t="shared" si="2"/>
        <v>16</v>
      </c>
    </row>
    <row r="140" spans="12:17" x14ac:dyDescent="0.2">
      <c r="L140" s="435">
        <v>139</v>
      </c>
      <c r="M140" s="428" t="s">
        <v>1738</v>
      </c>
      <c r="N140" s="431">
        <v>0.25</v>
      </c>
      <c r="O140" s="428">
        <v>47.39</v>
      </c>
      <c r="P140" s="431">
        <v>17.5</v>
      </c>
      <c r="Q140" s="428">
        <f t="shared" si="2"/>
        <v>18</v>
      </c>
    </row>
    <row r="141" spans="12:17" x14ac:dyDescent="0.2">
      <c r="L141" s="435">
        <v>140</v>
      </c>
      <c r="M141" s="428" t="s">
        <v>1739</v>
      </c>
      <c r="N141" s="428">
        <v>0.312</v>
      </c>
      <c r="O141" s="428">
        <v>59.03</v>
      </c>
      <c r="P141" s="428">
        <v>17.376000000000001</v>
      </c>
      <c r="Q141" s="428">
        <f t="shared" si="2"/>
        <v>18</v>
      </c>
    </row>
    <row r="142" spans="12:17" x14ac:dyDescent="0.2">
      <c r="L142" s="435">
        <v>141</v>
      </c>
      <c r="M142" s="428" t="s">
        <v>1740</v>
      </c>
      <c r="N142" s="428">
        <v>0.375</v>
      </c>
      <c r="O142" s="428">
        <v>70.59</v>
      </c>
      <c r="P142" s="431">
        <v>17.25</v>
      </c>
      <c r="Q142" s="428">
        <f t="shared" si="2"/>
        <v>18</v>
      </c>
    </row>
    <row r="143" spans="12:17" x14ac:dyDescent="0.2">
      <c r="L143" s="435">
        <v>142</v>
      </c>
      <c r="M143" s="428" t="s">
        <v>1741</v>
      </c>
      <c r="N143" s="428">
        <v>0.437</v>
      </c>
      <c r="O143" s="428">
        <v>82.06</v>
      </c>
      <c r="P143" s="428">
        <v>17.126000000000001</v>
      </c>
      <c r="Q143" s="428">
        <f t="shared" si="2"/>
        <v>18</v>
      </c>
    </row>
    <row r="144" spans="12:17" x14ac:dyDescent="0.2">
      <c r="L144" s="435">
        <v>143</v>
      </c>
      <c r="M144" s="428" t="s">
        <v>1742</v>
      </c>
      <c r="N144" s="431">
        <v>0.5</v>
      </c>
      <c r="O144" s="428">
        <v>93.45</v>
      </c>
      <c r="P144" s="431">
        <v>17</v>
      </c>
      <c r="Q144" s="428">
        <f t="shared" si="2"/>
        <v>18</v>
      </c>
    </row>
    <row r="145" spans="12:17" x14ac:dyDescent="0.2">
      <c r="L145" s="435">
        <v>144</v>
      </c>
      <c r="M145" s="428" t="s">
        <v>1743</v>
      </c>
      <c r="N145" s="428">
        <v>0.56200000000000006</v>
      </c>
      <c r="O145" s="428">
        <v>104.75</v>
      </c>
      <c r="P145" s="428">
        <v>16.876000000000001</v>
      </c>
      <c r="Q145" s="428">
        <f t="shared" si="2"/>
        <v>18</v>
      </c>
    </row>
    <row r="146" spans="12:17" x14ac:dyDescent="0.2">
      <c r="L146" s="435">
        <v>145</v>
      </c>
      <c r="M146" s="428" t="s">
        <v>1744</v>
      </c>
      <c r="N146" s="431">
        <v>0.75</v>
      </c>
      <c r="O146" s="428">
        <v>138.16999999999999</v>
      </c>
      <c r="P146" s="431">
        <v>16.5</v>
      </c>
      <c r="Q146" s="428">
        <f t="shared" si="2"/>
        <v>18</v>
      </c>
    </row>
    <row r="147" spans="12:17" x14ac:dyDescent="0.2">
      <c r="L147" s="435">
        <v>146</v>
      </c>
      <c r="M147" s="428" t="s">
        <v>1745</v>
      </c>
      <c r="N147" s="428">
        <v>0.93700000000000006</v>
      </c>
      <c r="O147" s="428">
        <v>170.75</v>
      </c>
      <c r="P147" s="428">
        <v>16.126000000000001</v>
      </c>
      <c r="Q147" s="428">
        <f t="shared" si="2"/>
        <v>18</v>
      </c>
    </row>
    <row r="148" spans="12:17" x14ac:dyDescent="0.2">
      <c r="L148" s="435">
        <v>147</v>
      </c>
      <c r="M148" s="428" t="s">
        <v>1746</v>
      </c>
      <c r="N148" s="428">
        <v>1.1559999999999999</v>
      </c>
      <c r="O148" s="428">
        <v>207.96</v>
      </c>
      <c r="P148" s="428">
        <v>15.688000000000001</v>
      </c>
      <c r="Q148" s="428">
        <f t="shared" si="2"/>
        <v>18</v>
      </c>
    </row>
    <row r="149" spans="12:17" x14ac:dyDescent="0.2">
      <c r="L149" s="435">
        <v>148</v>
      </c>
      <c r="M149" s="428" t="s">
        <v>1747</v>
      </c>
      <c r="N149" s="428">
        <v>1.375</v>
      </c>
      <c r="O149" s="428">
        <v>244.14</v>
      </c>
      <c r="P149" s="431">
        <v>15.25</v>
      </c>
      <c r="Q149" s="428">
        <f t="shared" si="2"/>
        <v>18</v>
      </c>
    </row>
    <row r="150" spans="12:17" x14ac:dyDescent="0.2">
      <c r="L150" s="435">
        <v>149</v>
      </c>
      <c r="M150" s="428" t="s">
        <v>1748</v>
      </c>
      <c r="N150" s="428">
        <v>1.5620000000000001</v>
      </c>
      <c r="O150" s="428">
        <v>274.23</v>
      </c>
      <c r="P150" s="428">
        <v>14.875999999999999</v>
      </c>
      <c r="Q150" s="428">
        <f t="shared" si="2"/>
        <v>18</v>
      </c>
    </row>
    <row r="151" spans="12:17" x14ac:dyDescent="0.2">
      <c r="L151" s="435">
        <v>150</v>
      </c>
      <c r="M151" s="428" t="s">
        <v>1749</v>
      </c>
      <c r="N151" s="428">
        <v>1.7809999999999999</v>
      </c>
      <c r="O151" s="428">
        <v>308.51</v>
      </c>
      <c r="P151" s="428">
        <v>14.438000000000001</v>
      </c>
      <c r="Q151" s="428">
        <f t="shared" si="2"/>
        <v>18</v>
      </c>
    </row>
    <row r="152" spans="12:17" x14ac:dyDescent="0.2">
      <c r="L152" s="435">
        <v>151</v>
      </c>
      <c r="M152" s="428" t="s">
        <v>1750</v>
      </c>
      <c r="N152" s="431">
        <v>0.25</v>
      </c>
      <c r="O152" s="428">
        <v>52.73</v>
      </c>
      <c r="P152" s="431">
        <v>19.5</v>
      </c>
      <c r="Q152" s="428">
        <f t="shared" si="2"/>
        <v>20</v>
      </c>
    </row>
    <row r="153" spans="12:17" x14ac:dyDescent="0.2">
      <c r="L153" s="435">
        <v>152</v>
      </c>
      <c r="M153" s="428" t="s">
        <v>1751</v>
      </c>
      <c r="N153" s="428">
        <v>0.375</v>
      </c>
      <c r="O153" s="432">
        <v>78.599999999999994</v>
      </c>
      <c r="P153" s="431">
        <v>19.25</v>
      </c>
      <c r="Q153" s="428">
        <f t="shared" ref="Q153:Q175" si="3">P153+(N153*2)</f>
        <v>20</v>
      </c>
    </row>
    <row r="154" spans="12:17" x14ac:dyDescent="0.2">
      <c r="L154" s="435">
        <v>153</v>
      </c>
      <c r="M154" s="428" t="s">
        <v>1752</v>
      </c>
      <c r="N154" s="431">
        <v>0.5</v>
      </c>
      <c r="O154" s="428">
        <v>104.13</v>
      </c>
      <c r="P154" s="431">
        <v>19</v>
      </c>
      <c r="Q154" s="428">
        <f t="shared" si="3"/>
        <v>20</v>
      </c>
    </row>
    <row r="155" spans="12:17" x14ac:dyDescent="0.2">
      <c r="L155" s="435">
        <v>154</v>
      </c>
      <c r="M155" s="428" t="s">
        <v>1753</v>
      </c>
      <c r="N155" s="428">
        <v>0.59299999999999997</v>
      </c>
      <c r="O155" s="428">
        <v>122.91</v>
      </c>
      <c r="P155" s="428">
        <v>18.814</v>
      </c>
      <c r="Q155" s="428">
        <f t="shared" si="3"/>
        <v>20</v>
      </c>
    </row>
    <row r="156" spans="12:17" x14ac:dyDescent="0.2">
      <c r="L156" s="435">
        <v>155</v>
      </c>
      <c r="M156" s="428" t="s">
        <v>1754</v>
      </c>
      <c r="N156" s="428">
        <v>0.81200000000000006</v>
      </c>
      <c r="O156" s="432">
        <v>166.4</v>
      </c>
      <c r="P156" s="428">
        <v>18.376000000000001</v>
      </c>
      <c r="Q156" s="428">
        <f t="shared" si="3"/>
        <v>20</v>
      </c>
    </row>
    <row r="157" spans="12:17" x14ac:dyDescent="0.2">
      <c r="L157" s="435">
        <v>156</v>
      </c>
      <c r="M157" s="428" t="s">
        <v>1755</v>
      </c>
      <c r="N157" s="428">
        <v>1.0309999999999999</v>
      </c>
      <c r="O157" s="428">
        <v>208.87</v>
      </c>
      <c r="P157" s="428">
        <v>17.937999999999999</v>
      </c>
      <c r="Q157" s="428">
        <f t="shared" si="3"/>
        <v>20</v>
      </c>
    </row>
    <row r="158" spans="12:17" x14ac:dyDescent="0.2">
      <c r="L158" s="435">
        <v>157</v>
      </c>
      <c r="M158" s="428" t="s">
        <v>1756</v>
      </c>
      <c r="N158" s="428">
        <v>1.2809999999999999</v>
      </c>
      <c r="O158" s="432">
        <v>256.10000000000002</v>
      </c>
      <c r="P158" s="428">
        <v>17.437999999999999</v>
      </c>
      <c r="Q158" s="428">
        <f t="shared" si="3"/>
        <v>20</v>
      </c>
    </row>
    <row r="159" spans="12:17" x14ac:dyDescent="0.2">
      <c r="L159" s="435">
        <v>158</v>
      </c>
      <c r="M159" s="428" t="s">
        <v>1757</v>
      </c>
      <c r="N159" s="431">
        <v>1.5</v>
      </c>
      <c r="O159" s="428">
        <v>296.37</v>
      </c>
      <c r="P159" s="431">
        <v>17</v>
      </c>
      <c r="Q159" s="428">
        <f t="shared" si="3"/>
        <v>20</v>
      </c>
    </row>
    <row r="160" spans="12:17" x14ac:dyDescent="0.2">
      <c r="L160" s="435">
        <v>159</v>
      </c>
      <c r="M160" s="428" t="s">
        <v>1758</v>
      </c>
      <c r="N160" s="431">
        <v>1.75</v>
      </c>
      <c r="O160" s="432">
        <v>341.1</v>
      </c>
      <c r="P160" s="431">
        <v>16.5</v>
      </c>
      <c r="Q160" s="428">
        <f t="shared" si="3"/>
        <v>20</v>
      </c>
    </row>
    <row r="161" spans="12:17" x14ac:dyDescent="0.2">
      <c r="L161" s="435">
        <v>160</v>
      </c>
      <c r="M161" s="428" t="s">
        <v>1759</v>
      </c>
      <c r="N161" s="428">
        <v>1.968</v>
      </c>
      <c r="O161" s="428">
        <v>379.01</v>
      </c>
      <c r="P161" s="428">
        <v>16.064</v>
      </c>
      <c r="Q161" s="428">
        <f t="shared" si="3"/>
        <v>20</v>
      </c>
    </row>
    <row r="162" spans="12:17" x14ac:dyDescent="0.2">
      <c r="L162" s="435">
        <v>161</v>
      </c>
      <c r="M162" s="428" t="s">
        <v>1760</v>
      </c>
      <c r="N162" s="431">
        <v>0.25</v>
      </c>
      <c r="O162" s="428">
        <v>63.41</v>
      </c>
      <c r="P162" s="431">
        <v>23.5</v>
      </c>
      <c r="Q162" s="428">
        <f t="shared" si="3"/>
        <v>24</v>
      </c>
    </row>
    <row r="163" spans="12:17" x14ac:dyDescent="0.2">
      <c r="L163" s="435">
        <v>162</v>
      </c>
      <c r="M163" s="428" t="s">
        <v>1761</v>
      </c>
      <c r="N163" s="428">
        <v>0.375</v>
      </c>
      <c r="O163" s="428">
        <v>94.62</v>
      </c>
      <c r="P163" s="431">
        <v>23.25</v>
      </c>
      <c r="Q163" s="428">
        <f t="shared" si="3"/>
        <v>24</v>
      </c>
    </row>
    <row r="164" spans="12:17" x14ac:dyDescent="0.2">
      <c r="L164" s="435">
        <v>163</v>
      </c>
      <c r="M164" s="428" t="s">
        <v>1762</v>
      </c>
      <c r="N164" s="431">
        <v>0.5</v>
      </c>
      <c r="O164" s="428">
        <v>125.49</v>
      </c>
      <c r="P164" s="431">
        <v>23</v>
      </c>
      <c r="Q164" s="428">
        <f t="shared" si="3"/>
        <v>24</v>
      </c>
    </row>
    <row r="165" spans="12:17" x14ac:dyDescent="0.2">
      <c r="L165" s="435">
        <v>164</v>
      </c>
      <c r="M165" s="428" t="s">
        <v>1763</v>
      </c>
      <c r="N165" s="428">
        <v>0.56200000000000006</v>
      </c>
      <c r="O165" s="432">
        <v>140.80000000000001</v>
      </c>
      <c r="P165" s="428">
        <v>22.876000000000001</v>
      </c>
      <c r="Q165" s="428">
        <f t="shared" si="3"/>
        <v>24</v>
      </c>
    </row>
    <row r="166" spans="12:17" x14ac:dyDescent="0.2">
      <c r="L166" s="435">
        <v>165</v>
      </c>
      <c r="M166" s="428" t="s">
        <v>1764</v>
      </c>
      <c r="N166" s="428">
        <v>0.68700000000000006</v>
      </c>
      <c r="O166" s="428">
        <v>171.17</v>
      </c>
      <c r="P166" s="428">
        <v>22.626000000000001</v>
      </c>
      <c r="Q166" s="428">
        <f t="shared" si="3"/>
        <v>24</v>
      </c>
    </row>
    <row r="167" spans="12:17" x14ac:dyDescent="0.2">
      <c r="L167" s="435">
        <v>166</v>
      </c>
      <c r="M167" s="428" t="s">
        <v>1765</v>
      </c>
      <c r="N167" s="428">
        <v>0.96799999999999997</v>
      </c>
      <c r="O167" s="428">
        <v>238.11</v>
      </c>
      <c r="P167" s="428">
        <v>22.064</v>
      </c>
      <c r="Q167" s="428">
        <f t="shared" si="3"/>
        <v>24</v>
      </c>
    </row>
    <row r="168" spans="12:17" x14ac:dyDescent="0.2">
      <c r="L168" s="435">
        <v>167</v>
      </c>
      <c r="M168" s="428" t="s">
        <v>1766</v>
      </c>
      <c r="N168" s="428">
        <v>1.218</v>
      </c>
      <c r="O168" s="428">
        <v>296.36</v>
      </c>
      <c r="P168" s="428">
        <v>21.564</v>
      </c>
      <c r="Q168" s="428">
        <f t="shared" si="3"/>
        <v>24</v>
      </c>
    </row>
    <row r="169" spans="12:17" x14ac:dyDescent="0.2">
      <c r="L169" s="435">
        <v>168</v>
      </c>
      <c r="M169" s="428" t="s">
        <v>1767</v>
      </c>
      <c r="N169" s="428">
        <v>1.5309999999999999</v>
      </c>
      <c r="O169" s="432">
        <v>367.4</v>
      </c>
      <c r="P169" s="428">
        <v>30.937999999999999</v>
      </c>
      <c r="Q169" s="428">
        <f t="shared" si="3"/>
        <v>34</v>
      </c>
    </row>
    <row r="170" spans="12:17" x14ac:dyDescent="0.2">
      <c r="L170" s="435">
        <v>169</v>
      </c>
      <c r="M170" s="428" t="s">
        <v>1768</v>
      </c>
      <c r="N170" s="428">
        <v>1.8120000000000001</v>
      </c>
      <c r="O170" s="428">
        <v>429.39</v>
      </c>
      <c r="P170" s="428">
        <v>20.376000000000001</v>
      </c>
      <c r="Q170" s="428">
        <f t="shared" si="3"/>
        <v>24</v>
      </c>
    </row>
    <row r="171" spans="12:17" x14ac:dyDescent="0.2">
      <c r="L171" s="435">
        <v>170</v>
      </c>
      <c r="M171" s="428" t="s">
        <v>1769</v>
      </c>
      <c r="N171" s="428">
        <v>2.0619999999999998</v>
      </c>
      <c r="O171" s="428">
        <v>483.13</v>
      </c>
      <c r="P171" s="428">
        <v>19.876000000000001</v>
      </c>
      <c r="Q171" s="428">
        <f t="shared" si="3"/>
        <v>24</v>
      </c>
    </row>
    <row r="172" spans="12:17" x14ac:dyDescent="0.2">
      <c r="L172" s="435">
        <v>171</v>
      </c>
      <c r="M172" s="428" t="s">
        <v>1770</v>
      </c>
      <c r="N172" s="428">
        <v>2.343</v>
      </c>
      <c r="O172" s="428">
        <v>541.94000000000005</v>
      </c>
      <c r="P172" s="428">
        <v>19.314</v>
      </c>
      <c r="Q172" s="428">
        <f t="shared" si="3"/>
        <v>24</v>
      </c>
    </row>
    <row r="173" spans="12:17" x14ac:dyDescent="0.2">
      <c r="L173" s="435">
        <v>172</v>
      </c>
      <c r="M173" s="428" t="s">
        <v>1771</v>
      </c>
      <c r="N173" s="428">
        <v>0.312</v>
      </c>
      <c r="O173" s="428">
        <v>98.93</v>
      </c>
      <c r="P173" s="428">
        <v>29.376000000000001</v>
      </c>
      <c r="Q173" s="428">
        <f t="shared" si="3"/>
        <v>30</v>
      </c>
    </row>
    <row r="174" spans="12:17" x14ac:dyDescent="0.2">
      <c r="L174" s="435">
        <v>173</v>
      </c>
      <c r="M174" s="428" t="s">
        <v>1772</v>
      </c>
      <c r="N174" s="431">
        <v>0.5</v>
      </c>
      <c r="O174" s="428">
        <v>157.53</v>
      </c>
      <c r="P174" s="431">
        <v>29</v>
      </c>
      <c r="Q174" s="428">
        <f t="shared" si="3"/>
        <v>30</v>
      </c>
    </row>
    <row r="175" spans="12:17" x14ac:dyDescent="0.2">
      <c r="L175" s="435">
        <v>174</v>
      </c>
      <c r="M175" s="428" t="s">
        <v>1773</v>
      </c>
      <c r="N175" s="428">
        <v>0.625</v>
      </c>
      <c r="O175" s="428">
        <v>196.08</v>
      </c>
      <c r="P175" s="431">
        <v>28.75</v>
      </c>
      <c r="Q175" s="428">
        <f t="shared" si="3"/>
        <v>30</v>
      </c>
    </row>
  </sheetData>
  <sheetProtection password="D809" sheet="1" objects="1" scenarios="1" selectLockedCells="1"/>
  <mergeCells count="5">
    <mergeCell ref="C34:E34"/>
    <mergeCell ref="B1:C1"/>
    <mergeCell ref="C5:D5"/>
    <mergeCell ref="C32:E32"/>
    <mergeCell ref="C33:E33"/>
  </mergeCells>
  <phoneticPr fontId="15" type="noConversion"/>
  <conditionalFormatting sqref="D13:E13 D22:E22 D19:D20">
    <cfRule type="expression" dxfId="129" priority="1" stopIfTrue="1">
      <formula>(MASTERSWITCH=1)</formula>
    </cfRule>
  </conditionalFormatting>
  <conditionalFormatting sqref="C32:E34">
    <cfRule type="expression" dxfId="128" priority="2" stopIfTrue="1">
      <formula>(MASTERSWITCH=1)</formula>
    </cfRule>
  </conditionalFormatting>
  <printOptions horizontalCentered="1"/>
  <pageMargins left="0.75" right="0.75" top="1.75" bottom="1.5" header="0.5" footer="0.5"/>
  <pageSetup orientation="portrait" horizontalDpi="0" verticalDpi="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6321" r:id="rId5" name="Drop Down 1">
              <controlPr locked="0" defaultSize="0" autoLine="0" autoPict="0">
                <anchor moveWithCells="1">
                  <from>
                    <xdr:col>4</xdr:col>
                    <xdr:colOff>9525</xdr:colOff>
                    <xdr:row>3</xdr:row>
                    <xdr:rowOff>180975</xdr:rowOff>
                  </from>
                  <to>
                    <xdr:col>8</xdr:col>
                    <xdr:colOff>238125</xdr:colOff>
                    <xdr:row>4</xdr:row>
                    <xdr:rowOff>200025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Q82"/>
  <sheetViews>
    <sheetView showRowColHeaders="0" workbookViewId="0">
      <selection activeCell="C12" sqref="C12"/>
    </sheetView>
  </sheetViews>
  <sheetFormatPr defaultRowHeight="12.75" x14ac:dyDescent="0.2"/>
  <cols>
    <col min="1" max="1" width="14.140625" customWidth="1"/>
    <col min="2" max="2" width="22.7109375" customWidth="1"/>
    <col min="3" max="3" width="9.85546875" customWidth="1"/>
    <col min="9" max="9" width="7.5703125" customWidth="1"/>
  </cols>
  <sheetData>
    <row r="1" spans="1:17" x14ac:dyDescent="0.2">
      <c r="B1" s="25"/>
      <c r="C1" s="25"/>
      <c r="D1" s="25"/>
      <c r="E1" s="25"/>
      <c r="F1" s="25"/>
      <c r="G1" s="25"/>
      <c r="H1" s="25"/>
      <c r="I1" s="25"/>
      <c r="J1" s="25"/>
      <c r="K1" s="25"/>
      <c r="L1" s="25"/>
      <c r="M1" s="25"/>
      <c r="N1" s="25"/>
      <c r="O1" s="25"/>
      <c r="P1" s="25"/>
      <c r="Q1" s="25"/>
    </row>
    <row r="2" spans="1:17" x14ac:dyDescent="0.2">
      <c r="A2" s="26"/>
      <c r="B2" s="25"/>
      <c r="C2" s="25"/>
      <c r="D2" s="25"/>
      <c r="E2" s="25"/>
      <c r="F2" s="25"/>
      <c r="G2" s="25"/>
      <c r="H2" s="25"/>
      <c r="I2" s="25"/>
      <c r="J2" s="25"/>
      <c r="K2" s="25"/>
      <c r="L2" s="25"/>
      <c r="M2" s="25"/>
      <c r="N2" s="25"/>
      <c r="O2" s="25"/>
      <c r="P2" s="25"/>
      <c r="Q2" s="25"/>
    </row>
    <row r="3" spans="1:17" ht="20.25" x14ac:dyDescent="0.3">
      <c r="A3" s="25"/>
      <c r="B3" s="902" t="s">
        <v>1167</v>
      </c>
      <c r="C3" s="902"/>
      <c r="D3" s="25"/>
      <c r="E3" s="25"/>
      <c r="F3" s="25"/>
      <c r="G3" s="25"/>
      <c r="H3" s="25"/>
      <c r="I3" s="25"/>
      <c r="J3" s="25"/>
      <c r="K3" s="25"/>
      <c r="L3" s="25"/>
      <c r="M3" s="25"/>
      <c r="N3" s="25"/>
      <c r="O3" s="25"/>
      <c r="P3" s="25"/>
      <c r="Q3" s="25"/>
    </row>
    <row r="4" spans="1:17" x14ac:dyDescent="0.2">
      <c r="A4" s="25"/>
      <c r="B4" s="25"/>
      <c r="C4" s="25"/>
      <c r="D4" s="25"/>
      <c r="E4" s="25"/>
      <c r="F4" s="25"/>
      <c r="G4" s="25"/>
      <c r="H4" s="25"/>
      <c r="I4" s="25"/>
      <c r="J4" s="25"/>
      <c r="K4" s="25"/>
      <c r="L4" s="25"/>
      <c r="M4" s="25"/>
      <c r="N4" s="25"/>
      <c r="O4" s="25"/>
      <c r="P4" s="25"/>
      <c r="Q4" s="25"/>
    </row>
    <row r="5" spans="1:17" x14ac:dyDescent="0.2">
      <c r="A5" s="25"/>
      <c r="B5" s="25"/>
      <c r="C5" s="494" t="s">
        <v>1169</v>
      </c>
      <c r="D5" s="568">
        <f>LOOKUP(C8,A52:A82,C52:C82)</f>
        <v>29.3</v>
      </c>
      <c r="E5" s="25"/>
      <c r="F5" s="25"/>
      <c r="G5" s="25"/>
      <c r="H5" s="25"/>
      <c r="I5" s="25"/>
      <c r="J5" s="25"/>
      <c r="K5" s="25"/>
      <c r="L5" s="25"/>
      <c r="M5" s="25"/>
      <c r="N5" s="25"/>
      <c r="O5" s="25"/>
      <c r="P5" s="25"/>
      <c r="Q5" s="25"/>
    </row>
    <row r="6" spans="1:17" ht="21.75" x14ac:dyDescent="0.2">
      <c r="A6" s="25"/>
      <c r="B6" s="25"/>
      <c r="C6" s="494" t="s">
        <v>1543</v>
      </c>
      <c r="D6" s="569">
        <f>12*(D5*0.2836)</f>
        <v>99.713760000000008</v>
      </c>
      <c r="E6" s="25"/>
      <c r="F6" s="25"/>
      <c r="G6" s="25"/>
      <c r="H6" s="25"/>
      <c r="I6" s="25"/>
      <c r="J6" s="25"/>
      <c r="K6" s="25"/>
      <c r="L6" s="25"/>
      <c r="M6" s="25"/>
      <c r="N6" s="25"/>
      <c r="O6" s="25"/>
      <c r="P6" s="25"/>
      <c r="Q6" s="25"/>
    </row>
    <row r="7" spans="1:17" ht="15.75" x14ac:dyDescent="0.25">
      <c r="A7" s="25"/>
      <c r="B7" s="25"/>
      <c r="C7" s="25"/>
      <c r="D7" s="25"/>
      <c r="E7" s="25"/>
      <c r="F7" s="25"/>
      <c r="G7" s="499">
        <f>LOOKUP(C8,A52:A82,E52:E82)</f>
        <v>7.2450000000000001</v>
      </c>
      <c r="H7" s="497" t="s">
        <v>1168</v>
      </c>
      <c r="I7" s="25"/>
      <c r="J7" s="25"/>
      <c r="K7" s="25"/>
      <c r="L7" s="25"/>
      <c r="M7" s="25"/>
      <c r="N7" s="25"/>
      <c r="O7" s="25"/>
      <c r="P7" s="25"/>
      <c r="Q7" s="25"/>
    </row>
    <row r="8" spans="1:17" x14ac:dyDescent="0.2">
      <c r="A8" s="25"/>
      <c r="B8" s="42"/>
      <c r="C8" s="35">
        <v>3</v>
      </c>
      <c r="D8" s="25"/>
      <c r="E8" s="25"/>
      <c r="F8" s="25"/>
      <c r="G8" s="25"/>
      <c r="H8" s="25"/>
      <c r="I8" s="25"/>
      <c r="J8" s="25"/>
      <c r="K8" s="25"/>
      <c r="L8" s="25"/>
      <c r="M8" s="25"/>
      <c r="N8" s="25"/>
      <c r="O8" s="25"/>
      <c r="P8" s="25"/>
      <c r="Q8" s="25"/>
    </row>
    <row r="9" spans="1:17" x14ac:dyDescent="0.2">
      <c r="A9" s="25"/>
      <c r="C9" s="25"/>
      <c r="D9" s="25"/>
      <c r="E9" s="25"/>
      <c r="F9" s="25"/>
      <c r="G9" s="25"/>
      <c r="H9" s="25"/>
      <c r="I9" s="25"/>
      <c r="J9" s="25"/>
      <c r="K9" s="25"/>
      <c r="L9" s="25"/>
      <c r="M9" s="25"/>
      <c r="N9" s="25"/>
      <c r="O9" s="25"/>
      <c r="P9" s="25"/>
      <c r="Q9" s="25"/>
    </row>
    <row r="10" spans="1:17" x14ac:dyDescent="0.2">
      <c r="A10" s="25"/>
      <c r="B10" s="25"/>
      <c r="C10" s="25"/>
      <c r="D10" s="25"/>
      <c r="E10" s="25"/>
      <c r="F10" s="25"/>
      <c r="G10" s="25"/>
      <c r="H10" s="25"/>
      <c r="I10" s="25"/>
      <c r="J10" s="25"/>
      <c r="K10" s="25"/>
      <c r="L10" s="25"/>
      <c r="M10" s="25"/>
      <c r="N10" s="25"/>
      <c r="O10" s="25"/>
      <c r="P10" s="25"/>
      <c r="Q10" s="25"/>
    </row>
    <row r="11" spans="1:17" ht="15.75" x14ac:dyDescent="0.25">
      <c r="A11" s="25"/>
      <c r="B11" s="25"/>
      <c r="C11" s="25"/>
      <c r="D11" s="25"/>
      <c r="E11" s="25"/>
      <c r="F11" s="25"/>
      <c r="G11" s="25"/>
      <c r="H11" s="25"/>
      <c r="I11" s="25"/>
      <c r="J11" s="498">
        <f>LOOKUP(C8,A52:A82,F52:F82)</f>
        <v>0.87</v>
      </c>
      <c r="K11" s="497" t="s">
        <v>1168</v>
      </c>
      <c r="L11" s="25"/>
      <c r="M11" s="25"/>
      <c r="N11" s="25"/>
      <c r="O11" s="25"/>
      <c r="P11" s="25"/>
      <c r="Q11" s="25"/>
    </row>
    <row r="12" spans="1:17" x14ac:dyDescent="0.2">
      <c r="A12" s="25"/>
      <c r="B12" s="422" t="s">
        <v>1171</v>
      </c>
      <c r="C12" s="518">
        <v>12</v>
      </c>
      <c r="E12" s="25"/>
      <c r="F12" s="25"/>
      <c r="G12" s="25"/>
      <c r="H12" s="25"/>
      <c r="I12" s="25"/>
      <c r="J12" s="25"/>
      <c r="K12" s="25"/>
      <c r="L12" s="25"/>
      <c r="M12" s="25"/>
      <c r="N12" s="25"/>
      <c r="O12" s="25"/>
      <c r="P12" s="25"/>
      <c r="Q12" s="25"/>
    </row>
    <row r="13" spans="1:17" x14ac:dyDescent="0.2">
      <c r="A13" s="25"/>
      <c r="B13" s="422" t="s">
        <v>1170</v>
      </c>
      <c r="C13" s="708">
        <v>0</v>
      </c>
      <c r="D13" s="25"/>
      <c r="E13" s="25"/>
      <c r="F13" s="25"/>
      <c r="G13" s="25"/>
      <c r="H13" s="25"/>
      <c r="I13" s="25"/>
      <c r="J13" s="25"/>
      <c r="K13" s="25"/>
      <c r="L13" s="25"/>
      <c r="M13" s="25"/>
      <c r="N13" s="25"/>
      <c r="O13" s="25"/>
      <c r="P13" s="25"/>
      <c r="Q13" s="25"/>
    </row>
    <row r="14" spans="1:17" x14ac:dyDescent="0.2">
      <c r="A14" s="25"/>
      <c r="B14" s="42" t="s">
        <v>1172</v>
      </c>
      <c r="C14" s="537">
        <f>(C12*12)+C13</f>
        <v>144</v>
      </c>
      <c r="E14" s="25"/>
      <c r="F14" s="25"/>
      <c r="G14" s="25"/>
      <c r="H14" s="25"/>
      <c r="I14" s="25"/>
      <c r="J14" s="25"/>
      <c r="K14" s="25"/>
      <c r="L14" s="25"/>
      <c r="M14" s="25"/>
      <c r="N14" s="25"/>
      <c r="O14" s="25"/>
      <c r="P14" s="25"/>
      <c r="Q14" s="25"/>
    </row>
    <row r="15" spans="1:17" x14ac:dyDescent="0.2">
      <c r="A15" s="25"/>
      <c r="B15" s="25"/>
      <c r="C15" s="25"/>
      <c r="D15" s="25"/>
      <c r="E15" s="25"/>
      <c r="F15" s="25"/>
      <c r="G15" s="25"/>
      <c r="H15" s="25"/>
      <c r="I15" s="25"/>
      <c r="J15" s="25"/>
      <c r="K15" s="25"/>
      <c r="L15" s="25"/>
      <c r="M15" s="25"/>
      <c r="N15" s="25"/>
      <c r="O15" s="25"/>
      <c r="P15" s="25"/>
      <c r="Q15" s="25"/>
    </row>
    <row r="16" spans="1:17" ht="15.75" x14ac:dyDescent="0.25">
      <c r="A16" s="25"/>
      <c r="B16" s="42" t="s">
        <v>1173</v>
      </c>
      <c r="C16" s="567">
        <f>C14*(D5*0.2836)</f>
        <v>1196.5651200000002</v>
      </c>
      <c r="D16" s="60" t="s">
        <v>2014</v>
      </c>
      <c r="E16" s="25"/>
      <c r="F16" s="25"/>
      <c r="G16" s="25"/>
      <c r="H16" s="25"/>
      <c r="I16" s="25"/>
      <c r="J16" s="25"/>
      <c r="K16" s="25"/>
      <c r="L16" s="25"/>
      <c r="M16" s="25"/>
      <c r="N16" s="25"/>
      <c r="O16" s="25"/>
      <c r="P16" s="25"/>
      <c r="Q16" s="25"/>
    </row>
    <row r="17" spans="1:17" x14ac:dyDescent="0.2">
      <c r="A17" s="25"/>
      <c r="B17" s="42" t="s">
        <v>1173</v>
      </c>
      <c r="C17" s="568">
        <f>C16/2000</f>
        <v>0.59828256000000013</v>
      </c>
      <c r="D17" s="60" t="s">
        <v>1174</v>
      </c>
      <c r="E17" s="25"/>
      <c r="F17" s="25"/>
      <c r="G17" s="25"/>
      <c r="H17" s="25"/>
      <c r="I17" s="25"/>
      <c r="J17" s="25"/>
      <c r="K17" s="25"/>
      <c r="L17" s="25"/>
      <c r="M17" s="25"/>
      <c r="N17" s="25"/>
      <c r="O17" s="25"/>
      <c r="P17" s="25"/>
      <c r="Q17" s="25"/>
    </row>
    <row r="18" spans="1:17" x14ac:dyDescent="0.2">
      <c r="A18" s="25"/>
      <c r="B18" s="25"/>
      <c r="C18" s="25"/>
      <c r="D18" s="25"/>
      <c r="E18" s="25"/>
      <c r="F18" s="25"/>
      <c r="G18" s="25"/>
      <c r="H18" s="25"/>
      <c r="I18" s="25"/>
      <c r="J18" s="25"/>
      <c r="K18" s="25"/>
      <c r="L18" s="25"/>
      <c r="M18" s="25"/>
      <c r="N18" s="25"/>
      <c r="O18" s="25"/>
      <c r="P18" s="25"/>
      <c r="Q18" s="25"/>
    </row>
    <row r="19" spans="1:17" ht="15.75" x14ac:dyDescent="0.25">
      <c r="A19" s="898" t="str">
        <f>IF(MASTERSWITCH=1,"EVALUATION PERIOD EXPIRED!","")</f>
        <v/>
      </c>
      <c r="B19" s="898"/>
      <c r="C19" s="898"/>
      <c r="D19" s="495">
        <f>LOOKUP(C8,A52:A82,D52:D82)</f>
        <v>24</v>
      </c>
      <c r="E19" s="25"/>
      <c r="F19" s="25"/>
      <c r="G19" s="25"/>
      <c r="H19" s="25"/>
      <c r="I19" s="25"/>
      <c r="J19" s="25"/>
      <c r="K19" s="25"/>
      <c r="L19" s="25"/>
      <c r="M19" s="25"/>
      <c r="N19" s="25"/>
      <c r="O19" s="25"/>
      <c r="P19" s="25"/>
      <c r="Q19" s="25"/>
    </row>
    <row r="20" spans="1:17" x14ac:dyDescent="0.2">
      <c r="A20" s="898" t="str">
        <f>IF(MASTERSWITCH=1,"PLEASE PURCHASE LICENSE TO","")</f>
        <v/>
      </c>
      <c r="B20" s="898"/>
      <c r="C20" s="898"/>
      <c r="D20" s="496" t="s">
        <v>1168</v>
      </c>
      <c r="E20" s="25"/>
      <c r="F20" s="25"/>
      <c r="G20" s="25"/>
      <c r="H20" s="25"/>
      <c r="J20" s="25"/>
      <c r="K20" s="25"/>
      <c r="L20" s="25"/>
      <c r="M20" s="25"/>
      <c r="N20" s="25"/>
      <c r="O20" s="25"/>
      <c r="P20" s="25"/>
      <c r="Q20" s="25"/>
    </row>
    <row r="21" spans="1:17" x14ac:dyDescent="0.2">
      <c r="A21" s="898" t="str">
        <f>IF(MASTERSWITCH=1,"CONTINUE USING THIS PROGRAM","")</f>
        <v/>
      </c>
      <c r="B21" s="898"/>
      <c r="C21" s="898"/>
      <c r="D21" s="25"/>
      <c r="E21" s="25"/>
      <c r="F21" s="25"/>
      <c r="G21" s="25"/>
      <c r="H21" s="25"/>
      <c r="I21" s="25"/>
      <c r="J21" s="25"/>
      <c r="K21" s="25"/>
      <c r="L21" s="25"/>
      <c r="M21" s="25"/>
      <c r="N21" s="25"/>
      <c r="O21" s="25"/>
      <c r="P21" s="25"/>
      <c r="Q21" s="25"/>
    </row>
    <row r="22" spans="1:17" ht="15.75" x14ac:dyDescent="0.25">
      <c r="A22" s="25"/>
      <c r="B22" s="25"/>
      <c r="C22" s="25"/>
      <c r="D22" s="25"/>
      <c r="E22" s="25"/>
      <c r="F22" s="25"/>
      <c r="G22" s="25"/>
      <c r="H22" s="25"/>
      <c r="I22" s="25"/>
      <c r="J22" s="498">
        <f>LOOKUP(C8,A52:A82,G52:G82)</f>
        <v>0.745</v>
      </c>
      <c r="K22" s="497" t="s">
        <v>1168</v>
      </c>
      <c r="L22" s="25"/>
      <c r="M22" s="25"/>
      <c r="N22" s="25"/>
      <c r="O22" s="25"/>
      <c r="P22" s="25"/>
      <c r="Q22" s="25"/>
    </row>
    <row r="23" spans="1:17" x14ac:dyDescent="0.2">
      <c r="A23" s="25"/>
      <c r="B23" s="25"/>
      <c r="C23" s="25"/>
      <c r="D23" s="25"/>
      <c r="E23" s="25"/>
      <c r="F23" s="25"/>
      <c r="G23" s="25"/>
      <c r="H23" s="25"/>
      <c r="I23" s="25"/>
      <c r="J23" s="25"/>
      <c r="K23" s="25"/>
      <c r="L23" s="25"/>
      <c r="M23" s="25"/>
      <c r="N23" s="25"/>
      <c r="O23" s="25"/>
      <c r="P23" s="25"/>
      <c r="Q23" s="25"/>
    </row>
    <row r="24" spans="1:17" x14ac:dyDescent="0.2">
      <c r="A24" s="25"/>
      <c r="B24" s="25"/>
      <c r="C24" s="25"/>
      <c r="D24" s="25"/>
      <c r="E24" s="25"/>
      <c r="F24" s="25"/>
      <c r="G24" s="25"/>
      <c r="H24" s="25"/>
      <c r="I24" s="25"/>
      <c r="J24" s="25"/>
      <c r="K24" s="25"/>
      <c r="L24" s="25"/>
      <c r="M24" s="25"/>
      <c r="N24" s="25"/>
      <c r="O24" s="25"/>
      <c r="P24" s="25"/>
      <c r="Q24" s="25"/>
    </row>
    <row r="25" spans="1:17" x14ac:dyDescent="0.2">
      <c r="A25" s="25"/>
      <c r="B25" s="25"/>
      <c r="C25" s="25"/>
      <c r="D25" s="25"/>
      <c r="E25" s="25"/>
      <c r="F25" s="25"/>
      <c r="G25" s="25"/>
      <c r="H25" s="25"/>
      <c r="I25" s="25"/>
      <c r="J25" s="25"/>
      <c r="K25" s="25"/>
      <c r="L25" s="25"/>
      <c r="M25" s="25"/>
      <c r="N25" s="25"/>
      <c r="O25" s="25"/>
      <c r="P25" s="25"/>
      <c r="Q25" s="25"/>
    </row>
    <row r="26" spans="1:17" x14ac:dyDescent="0.2">
      <c r="A26" s="25"/>
      <c r="B26" s="25"/>
      <c r="C26" s="25"/>
      <c r="D26" s="25"/>
      <c r="E26" s="25"/>
      <c r="F26" s="25"/>
      <c r="G26" s="25"/>
      <c r="H26" s="25"/>
      <c r="I26" s="25"/>
      <c r="J26" s="25"/>
      <c r="K26" s="25"/>
      <c r="L26" s="25"/>
      <c r="M26" s="25"/>
      <c r="N26" s="25"/>
      <c r="O26" s="25"/>
      <c r="P26" s="25"/>
      <c r="Q26" s="25"/>
    </row>
    <row r="27" spans="1:17" x14ac:dyDescent="0.2">
      <c r="A27" s="633"/>
      <c r="B27" s="25"/>
      <c r="C27" s="25"/>
      <c r="D27" s="25"/>
      <c r="E27" s="25"/>
      <c r="F27" s="25"/>
      <c r="G27" s="25"/>
      <c r="H27" s="25"/>
      <c r="I27" s="25"/>
      <c r="J27" s="25"/>
      <c r="K27" s="25"/>
      <c r="L27" s="25"/>
      <c r="M27" s="25"/>
      <c r="N27" s="25"/>
      <c r="O27" s="25"/>
      <c r="P27" s="25"/>
      <c r="Q27" s="25"/>
    </row>
    <row r="28" spans="1:17" x14ac:dyDescent="0.2">
      <c r="A28" s="25"/>
      <c r="B28" s="25"/>
      <c r="C28" s="25"/>
      <c r="D28" s="25"/>
      <c r="E28" s="25"/>
      <c r="F28" s="25"/>
      <c r="G28" s="25"/>
      <c r="H28" s="25"/>
      <c r="I28" s="25"/>
      <c r="J28" s="25"/>
      <c r="K28" s="25"/>
      <c r="L28" s="25"/>
      <c r="M28" s="25"/>
      <c r="N28" s="25"/>
      <c r="O28" s="25"/>
      <c r="P28" s="25"/>
      <c r="Q28" s="25"/>
    </row>
    <row r="29" spans="1:17" x14ac:dyDescent="0.2">
      <c r="A29" s="25"/>
      <c r="B29" s="25"/>
      <c r="C29" s="25"/>
      <c r="D29" s="25"/>
      <c r="E29" s="25"/>
      <c r="F29" s="25"/>
      <c r="G29" s="25"/>
      <c r="H29" s="25"/>
      <c r="I29" s="25"/>
      <c r="J29" s="25"/>
      <c r="K29" s="25"/>
      <c r="L29" s="25"/>
      <c r="M29" s="25"/>
      <c r="N29" s="25"/>
      <c r="O29" s="25"/>
      <c r="P29" s="25"/>
      <c r="Q29" s="25"/>
    </row>
    <row r="30" spans="1:17" x14ac:dyDescent="0.2">
      <c r="A30" s="25"/>
      <c r="B30" s="25"/>
      <c r="C30" s="25"/>
      <c r="D30" s="25"/>
      <c r="E30" s="25"/>
      <c r="F30" s="25"/>
      <c r="G30" s="25"/>
      <c r="H30" s="25"/>
      <c r="I30" s="25"/>
      <c r="J30" s="25"/>
      <c r="K30" s="25"/>
      <c r="L30" s="25"/>
      <c r="M30" s="25"/>
      <c r="N30" s="25"/>
      <c r="O30" s="25"/>
      <c r="P30" s="25"/>
      <c r="Q30" s="25"/>
    </row>
    <row r="31" spans="1:17" x14ac:dyDescent="0.2">
      <c r="A31" s="25"/>
      <c r="B31" s="25"/>
      <c r="C31" s="25"/>
      <c r="D31" s="25"/>
      <c r="E31" s="25"/>
      <c r="F31" s="25"/>
      <c r="G31" s="25"/>
      <c r="H31" s="25"/>
      <c r="I31" s="25"/>
      <c r="J31" s="25"/>
      <c r="K31" s="25"/>
      <c r="L31" s="25"/>
      <c r="M31" s="25"/>
      <c r="N31" s="25"/>
      <c r="O31" s="25"/>
      <c r="P31" s="25"/>
      <c r="Q31" s="25"/>
    </row>
    <row r="32" spans="1:17" x14ac:dyDescent="0.2">
      <c r="A32" s="25"/>
      <c r="B32" s="25"/>
      <c r="C32" s="25"/>
      <c r="D32" s="25"/>
      <c r="E32" s="25"/>
      <c r="F32" s="25"/>
      <c r="G32" s="25"/>
      <c r="H32" s="25"/>
      <c r="I32" s="25"/>
      <c r="J32" s="25"/>
      <c r="K32" s="25"/>
      <c r="L32" s="25"/>
      <c r="M32" s="25"/>
      <c r="N32" s="25"/>
      <c r="O32" s="25"/>
      <c r="P32" s="25"/>
      <c r="Q32" s="25"/>
    </row>
    <row r="33" spans="1:17" x14ac:dyDescent="0.2">
      <c r="A33" s="25"/>
      <c r="B33" s="25"/>
      <c r="C33" s="25"/>
      <c r="D33" s="25"/>
      <c r="E33" s="25"/>
      <c r="F33" s="25"/>
      <c r="G33" s="25"/>
      <c r="H33" s="25"/>
      <c r="I33" s="25"/>
      <c r="J33" s="25"/>
      <c r="K33" s="25"/>
      <c r="L33" s="25"/>
      <c r="M33" s="25"/>
      <c r="N33" s="25"/>
      <c r="O33" s="25"/>
      <c r="P33" s="25"/>
      <c r="Q33" s="25"/>
    </row>
    <row r="34" spans="1:17" x14ac:dyDescent="0.2">
      <c r="A34" s="25"/>
      <c r="B34" s="25"/>
      <c r="C34" s="25"/>
      <c r="D34" s="25"/>
      <c r="E34" s="25"/>
      <c r="F34" s="25"/>
      <c r="G34" s="25"/>
      <c r="H34" s="25"/>
      <c r="I34" s="25"/>
      <c r="J34" s="25"/>
      <c r="K34" s="25"/>
      <c r="L34" s="25"/>
      <c r="M34" s="25"/>
      <c r="N34" s="25"/>
      <c r="O34" s="25"/>
      <c r="P34" s="25"/>
      <c r="Q34" s="25"/>
    </row>
    <row r="35" spans="1:17" x14ac:dyDescent="0.2">
      <c r="A35" s="25"/>
      <c r="B35" s="25"/>
      <c r="C35" s="25"/>
      <c r="D35" s="25"/>
      <c r="E35" s="25"/>
      <c r="F35" s="25"/>
      <c r="G35" s="25"/>
      <c r="H35" s="25"/>
      <c r="I35" s="25"/>
      <c r="J35" s="25"/>
      <c r="K35" s="25"/>
      <c r="L35" s="25"/>
      <c r="M35" s="25"/>
      <c r="N35" s="25"/>
      <c r="O35" s="25"/>
      <c r="P35" s="25"/>
      <c r="Q35" s="25"/>
    </row>
    <row r="36" spans="1:17" x14ac:dyDescent="0.2">
      <c r="A36" s="25"/>
      <c r="B36" s="25"/>
      <c r="C36" s="25"/>
      <c r="D36" s="25"/>
      <c r="E36" s="25"/>
      <c r="F36" s="25"/>
      <c r="G36" s="25"/>
      <c r="H36" s="25"/>
      <c r="I36" s="25"/>
      <c r="J36" s="25"/>
      <c r="K36" s="25"/>
      <c r="L36" s="25"/>
      <c r="M36" s="25"/>
      <c r="N36" s="25"/>
      <c r="O36" s="25"/>
      <c r="P36" s="25"/>
      <c r="Q36" s="25"/>
    </row>
    <row r="37" spans="1:17" x14ac:dyDescent="0.2">
      <c r="A37" s="25"/>
      <c r="B37" s="25"/>
      <c r="C37" s="25"/>
      <c r="D37" s="25"/>
      <c r="E37" s="25"/>
      <c r="F37" s="25"/>
      <c r="G37" s="25"/>
      <c r="H37" s="25"/>
      <c r="I37" s="25"/>
      <c r="J37" s="25"/>
      <c r="K37" s="25"/>
      <c r="L37" s="25"/>
      <c r="M37" s="25"/>
      <c r="N37" s="25"/>
      <c r="O37" s="25"/>
      <c r="P37" s="25"/>
      <c r="Q37" s="25"/>
    </row>
    <row r="38" spans="1:17" x14ac:dyDescent="0.2">
      <c r="A38" s="25"/>
      <c r="B38" s="25"/>
      <c r="C38" s="25"/>
      <c r="D38" s="25"/>
      <c r="E38" s="25"/>
      <c r="F38" s="25"/>
      <c r="G38" s="25"/>
      <c r="H38" s="25"/>
      <c r="I38" s="25"/>
      <c r="J38" s="25"/>
      <c r="K38" s="25"/>
      <c r="L38" s="25"/>
      <c r="M38" s="25"/>
      <c r="N38" s="25"/>
      <c r="O38" s="25"/>
      <c r="P38" s="25"/>
      <c r="Q38" s="25"/>
    </row>
    <row r="39" spans="1:17" x14ac:dyDescent="0.2">
      <c r="A39" s="25"/>
      <c r="B39" s="25"/>
      <c r="C39" s="25"/>
      <c r="D39" s="25"/>
      <c r="E39" s="25"/>
      <c r="F39" s="25"/>
      <c r="G39" s="25"/>
      <c r="H39" s="25"/>
      <c r="I39" s="25"/>
      <c r="J39" s="25"/>
      <c r="K39" s="25"/>
      <c r="L39" s="25"/>
      <c r="M39" s="25"/>
      <c r="N39" s="25"/>
      <c r="O39" s="25"/>
      <c r="P39" s="25"/>
      <c r="Q39" s="25"/>
    </row>
    <row r="40" spans="1:17" x14ac:dyDescent="0.2">
      <c r="A40" s="25"/>
      <c r="B40" s="25"/>
      <c r="C40" s="25"/>
      <c r="D40" s="25"/>
      <c r="E40" s="25"/>
      <c r="F40" s="25"/>
      <c r="G40" s="25"/>
      <c r="H40" s="25"/>
      <c r="I40" s="25"/>
      <c r="J40" s="25"/>
      <c r="K40" s="25"/>
      <c r="L40" s="25"/>
      <c r="M40" s="25"/>
      <c r="N40" s="25"/>
      <c r="O40" s="25"/>
      <c r="P40" s="25"/>
      <c r="Q40" s="25"/>
    </row>
    <row r="41" spans="1:17" x14ac:dyDescent="0.2">
      <c r="A41" s="25"/>
      <c r="B41" s="25"/>
      <c r="C41" s="25"/>
      <c r="D41" s="25"/>
      <c r="E41" s="25"/>
      <c r="F41" s="25"/>
      <c r="G41" s="25"/>
      <c r="H41" s="25"/>
      <c r="I41" s="25"/>
      <c r="J41" s="25"/>
      <c r="K41" s="25"/>
      <c r="L41" s="25"/>
      <c r="M41" s="25"/>
      <c r="N41" s="25"/>
      <c r="O41" s="25"/>
      <c r="P41" s="25"/>
      <c r="Q41" s="25"/>
    </row>
    <row r="42" spans="1:17" x14ac:dyDescent="0.2">
      <c r="A42" s="25"/>
      <c r="B42" s="25"/>
      <c r="C42" s="25"/>
      <c r="D42" s="25"/>
      <c r="E42" s="25"/>
      <c r="F42" s="25"/>
      <c r="G42" s="25"/>
      <c r="H42" s="25"/>
      <c r="I42" s="25"/>
      <c r="J42" s="25"/>
      <c r="K42" s="25"/>
      <c r="L42" s="25"/>
      <c r="M42" s="25"/>
      <c r="N42" s="25"/>
      <c r="O42" s="25"/>
      <c r="P42" s="25"/>
      <c r="Q42" s="25"/>
    </row>
    <row r="43" spans="1:17" x14ac:dyDescent="0.2">
      <c r="A43" s="25"/>
      <c r="B43" s="25"/>
      <c r="C43" s="25"/>
      <c r="D43" s="25"/>
      <c r="E43" s="25"/>
      <c r="F43" s="25"/>
      <c r="G43" s="25"/>
      <c r="H43" s="25"/>
      <c r="I43" s="25"/>
      <c r="J43" s="25"/>
      <c r="K43" s="25"/>
      <c r="L43" s="25"/>
      <c r="M43" s="25"/>
      <c r="N43" s="25"/>
      <c r="O43" s="25"/>
      <c r="P43" s="25"/>
      <c r="Q43" s="25"/>
    </row>
    <row r="44" spans="1:17" x14ac:dyDescent="0.2">
      <c r="A44" s="25"/>
      <c r="B44" s="25"/>
      <c r="C44" s="25"/>
      <c r="D44" s="25"/>
      <c r="E44" s="25"/>
      <c r="F44" s="25"/>
      <c r="G44" s="25"/>
      <c r="H44" s="25"/>
      <c r="I44" s="25"/>
      <c r="J44" s="25"/>
      <c r="K44" s="25"/>
      <c r="L44" s="25"/>
      <c r="M44" s="25"/>
      <c r="N44" s="25"/>
      <c r="O44" s="25"/>
      <c r="P44" s="25"/>
      <c r="Q44" s="25"/>
    </row>
    <row r="45" spans="1:17" x14ac:dyDescent="0.2">
      <c r="A45" s="25"/>
      <c r="B45" s="25"/>
      <c r="C45" s="25"/>
      <c r="D45" s="25"/>
      <c r="E45" s="25"/>
      <c r="F45" s="25"/>
      <c r="G45" s="25"/>
      <c r="H45" s="25"/>
      <c r="I45" s="25"/>
      <c r="J45" s="25"/>
      <c r="K45" s="25"/>
      <c r="L45" s="25"/>
      <c r="M45" s="25"/>
      <c r="N45" s="25"/>
      <c r="O45" s="25"/>
      <c r="P45" s="25"/>
      <c r="Q45" s="25"/>
    </row>
    <row r="46" spans="1:17" x14ac:dyDescent="0.2">
      <c r="A46" s="25"/>
      <c r="B46" s="25"/>
      <c r="C46" s="25"/>
      <c r="D46" s="25"/>
      <c r="E46" s="25"/>
      <c r="F46" s="25"/>
      <c r="G46" s="25"/>
      <c r="H46" s="25"/>
      <c r="I46" s="25"/>
      <c r="J46" s="25"/>
      <c r="K46" s="25"/>
      <c r="L46" s="25"/>
      <c r="M46" s="25"/>
      <c r="N46" s="25"/>
      <c r="O46" s="25"/>
      <c r="P46" s="25"/>
      <c r="Q46" s="25"/>
    </row>
    <row r="50" spans="1:7" ht="14.25" x14ac:dyDescent="0.25">
      <c r="B50" s="901" t="s">
        <v>1129</v>
      </c>
      <c r="C50" s="484" t="s">
        <v>754</v>
      </c>
      <c r="D50" s="485" t="s">
        <v>1130</v>
      </c>
      <c r="E50" s="485" t="s">
        <v>1166</v>
      </c>
      <c r="F50" s="485" t="s">
        <v>1131</v>
      </c>
      <c r="G50" s="485" t="s">
        <v>1132</v>
      </c>
    </row>
    <row r="51" spans="1:7" x14ac:dyDescent="0.2">
      <c r="B51" s="901"/>
      <c r="C51" s="486" t="s">
        <v>1133</v>
      </c>
      <c r="D51" s="486" t="s">
        <v>1134</v>
      </c>
      <c r="E51" s="486" t="s">
        <v>1134</v>
      </c>
      <c r="F51" s="486" t="s">
        <v>1134</v>
      </c>
      <c r="G51" s="486" t="s">
        <v>1134</v>
      </c>
    </row>
    <row r="52" spans="1:7" x14ac:dyDescent="0.2">
      <c r="A52" s="488">
        <v>1</v>
      </c>
      <c r="B52" s="489" t="s">
        <v>1135</v>
      </c>
      <c r="C52" s="491">
        <v>35.6</v>
      </c>
      <c r="D52" s="491">
        <v>24.5</v>
      </c>
      <c r="E52" s="493">
        <v>8.0500000000000007</v>
      </c>
      <c r="F52" s="493">
        <v>1.0900000000000001</v>
      </c>
      <c r="G52" s="493">
        <v>0.8</v>
      </c>
    </row>
    <row r="53" spans="1:7" x14ac:dyDescent="0.2">
      <c r="A53" s="490">
        <v>2</v>
      </c>
      <c r="B53" s="489" t="s">
        <v>1136</v>
      </c>
      <c r="C53" s="491">
        <v>31.2</v>
      </c>
      <c r="D53" s="491">
        <v>24.5</v>
      </c>
      <c r="E53" s="493">
        <v>7.87</v>
      </c>
      <c r="F53" s="493">
        <v>1.0900000000000001</v>
      </c>
      <c r="G53" s="493">
        <v>0.62</v>
      </c>
    </row>
    <row r="54" spans="1:7" x14ac:dyDescent="0.2">
      <c r="A54" s="490">
        <v>3</v>
      </c>
      <c r="B54" s="489" t="s">
        <v>1137</v>
      </c>
      <c r="C54" s="491">
        <v>29.3</v>
      </c>
      <c r="D54" s="491">
        <v>24</v>
      </c>
      <c r="E54" s="493">
        <v>7.2450000000000001</v>
      </c>
      <c r="F54" s="493">
        <v>0.87</v>
      </c>
      <c r="G54" s="493">
        <v>0.745</v>
      </c>
    </row>
    <row r="55" spans="1:7" x14ac:dyDescent="0.2">
      <c r="A55" s="490">
        <v>4</v>
      </c>
      <c r="B55" s="489" t="s">
        <v>1138</v>
      </c>
      <c r="C55" s="491">
        <v>26.5</v>
      </c>
      <c r="D55" s="491">
        <v>24</v>
      </c>
      <c r="E55" s="493">
        <v>7.125</v>
      </c>
      <c r="F55" s="493">
        <v>0.87</v>
      </c>
      <c r="G55" s="493">
        <v>0.625</v>
      </c>
    </row>
    <row r="56" spans="1:7" x14ac:dyDescent="0.2">
      <c r="A56" s="490">
        <v>5</v>
      </c>
      <c r="B56" s="489" t="s">
        <v>1139</v>
      </c>
      <c r="C56" s="491">
        <v>23.5</v>
      </c>
      <c r="D56" s="491">
        <v>24</v>
      </c>
      <c r="E56" s="493">
        <v>7</v>
      </c>
      <c r="F56" s="493">
        <v>0.87</v>
      </c>
      <c r="G56" s="493">
        <v>0.5</v>
      </c>
    </row>
    <row r="57" spans="1:7" x14ac:dyDescent="0.2">
      <c r="A57" s="490">
        <v>6</v>
      </c>
      <c r="B57" s="489" t="s">
        <v>1140</v>
      </c>
      <c r="C57" s="491">
        <v>28.2</v>
      </c>
      <c r="D57" s="491">
        <v>20.3</v>
      </c>
      <c r="E57" s="493">
        <v>7.2</v>
      </c>
      <c r="F57" s="493">
        <v>0.92</v>
      </c>
      <c r="G57" s="493">
        <v>0.8</v>
      </c>
    </row>
    <row r="58" spans="1:7" x14ac:dyDescent="0.2">
      <c r="A58" s="490">
        <v>7</v>
      </c>
      <c r="B58" s="489" t="s">
        <v>1141</v>
      </c>
      <c r="C58" s="491">
        <v>25.3</v>
      </c>
      <c r="D58" s="491">
        <v>20.3</v>
      </c>
      <c r="E58" s="493">
        <v>7.06</v>
      </c>
      <c r="F58" s="493">
        <v>0.92</v>
      </c>
      <c r="G58" s="493">
        <v>0.66</v>
      </c>
    </row>
    <row r="59" spans="1:7" x14ac:dyDescent="0.2">
      <c r="A59" s="490">
        <v>8</v>
      </c>
      <c r="B59" s="489" t="s">
        <v>1142</v>
      </c>
      <c r="C59" s="491">
        <v>22</v>
      </c>
      <c r="D59" s="491">
        <v>20</v>
      </c>
      <c r="E59" s="493">
        <v>6.3849999999999998</v>
      </c>
      <c r="F59" s="493">
        <v>0.79500000000000004</v>
      </c>
      <c r="G59" s="493">
        <v>0.63500000000000001</v>
      </c>
    </row>
    <row r="60" spans="1:7" x14ac:dyDescent="0.2">
      <c r="A60" s="490">
        <v>9</v>
      </c>
      <c r="B60" s="489" t="s">
        <v>1143</v>
      </c>
      <c r="C60" s="491">
        <v>19.399999999999999</v>
      </c>
      <c r="D60" s="491">
        <v>20</v>
      </c>
      <c r="E60" s="493">
        <v>6.2549999999999999</v>
      </c>
      <c r="F60" s="493">
        <v>0.79500000000000004</v>
      </c>
      <c r="G60" s="493">
        <v>0.505</v>
      </c>
    </row>
    <row r="61" spans="1:7" x14ac:dyDescent="0.2">
      <c r="A61" s="490">
        <v>10</v>
      </c>
      <c r="B61" s="489" t="s">
        <v>1144</v>
      </c>
      <c r="C61" s="491">
        <v>20.6</v>
      </c>
      <c r="D61" s="491">
        <v>18</v>
      </c>
      <c r="E61" s="493">
        <v>6.2510000000000003</v>
      </c>
      <c r="F61" s="493">
        <v>0.69099999999999995</v>
      </c>
      <c r="G61" s="493">
        <v>0.71099999999999997</v>
      </c>
    </row>
    <row r="62" spans="1:7" x14ac:dyDescent="0.2">
      <c r="A62" s="490">
        <v>11</v>
      </c>
      <c r="B62" s="489" t="s">
        <v>1145</v>
      </c>
      <c r="C62" s="491">
        <v>16.100000000000001</v>
      </c>
      <c r="D62" s="491">
        <v>18</v>
      </c>
      <c r="E62" s="493">
        <v>6.0010000000000003</v>
      </c>
      <c r="F62" s="493">
        <v>0.69099999999999995</v>
      </c>
      <c r="G62" s="493">
        <v>0.46100000000000002</v>
      </c>
    </row>
    <row r="63" spans="1:7" x14ac:dyDescent="0.2">
      <c r="A63" s="490">
        <v>12</v>
      </c>
      <c r="B63" s="489" t="s">
        <v>1146</v>
      </c>
      <c r="C63" s="491">
        <v>14.7</v>
      </c>
      <c r="D63" s="491">
        <v>15</v>
      </c>
      <c r="E63" s="493">
        <v>5.64</v>
      </c>
      <c r="F63" s="493">
        <v>0.622</v>
      </c>
      <c r="G63" s="493">
        <v>0.55000000000000004</v>
      </c>
    </row>
    <row r="64" spans="1:7" x14ac:dyDescent="0.2">
      <c r="A64" s="490">
        <v>13</v>
      </c>
      <c r="B64" s="489" t="s">
        <v>1147</v>
      </c>
      <c r="C64" s="491">
        <v>12.6</v>
      </c>
      <c r="D64" s="491">
        <v>15</v>
      </c>
      <c r="E64" s="493">
        <v>5.5010000000000003</v>
      </c>
      <c r="F64" s="493">
        <v>0.622</v>
      </c>
      <c r="G64" s="493">
        <v>0.41099999999999998</v>
      </c>
    </row>
    <row r="65" spans="1:7" x14ac:dyDescent="0.2">
      <c r="A65" s="490">
        <v>14</v>
      </c>
      <c r="B65" s="489" t="s">
        <v>1148</v>
      </c>
      <c r="C65" s="491">
        <v>14.7</v>
      </c>
      <c r="D65" s="491">
        <v>12</v>
      </c>
      <c r="E65" s="493">
        <v>5.4770000000000003</v>
      </c>
      <c r="F65" s="493">
        <v>0.65900000000000003</v>
      </c>
      <c r="G65" s="493">
        <v>0.68700000000000006</v>
      </c>
    </row>
    <row r="66" spans="1:7" x14ac:dyDescent="0.2">
      <c r="A66" s="490">
        <v>15</v>
      </c>
      <c r="B66" s="489" t="s">
        <v>1149</v>
      </c>
      <c r="C66" s="491">
        <v>12</v>
      </c>
      <c r="D66" s="491">
        <v>12</v>
      </c>
      <c r="E66" s="493">
        <v>5.2519999999999998</v>
      </c>
      <c r="F66" s="493">
        <v>0.65900000000000003</v>
      </c>
      <c r="G66" s="493">
        <v>0.46200000000000002</v>
      </c>
    </row>
    <row r="67" spans="1:7" x14ac:dyDescent="0.2">
      <c r="A67" s="490">
        <v>16</v>
      </c>
      <c r="B67" s="489" t="s">
        <v>1150</v>
      </c>
      <c r="C67" s="491">
        <v>10.3</v>
      </c>
      <c r="D67" s="491">
        <v>12</v>
      </c>
      <c r="E67" s="493">
        <v>5.0780000000000003</v>
      </c>
      <c r="F67" s="493">
        <v>0.54400000000000004</v>
      </c>
      <c r="G67" s="493">
        <v>0.42799999999999999</v>
      </c>
    </row>
    <row r="68" spans="1:7" x14ac:dyDescent="0.2">
      <c r="A68" s="490">
        <v>17</v>
      </c>
      <c r="B68" s="489" t="s">
        <v>1151</v>
      </c>
      <c r="C68" s="491">
        <v>9.4</v>
      </c>
      <c r="D68" s="491">
        <v>12</v>
      </c>
      <c r="E68" s="493">
        <v>5</v>
      </c>
      <c r="F68" s="493">
        <v>0.54400000000000004</v>
      </c>
      <c r="G68" s="493">
        <v>0.35</v>
      </c>
    </row>
    <row r="69" spans="1:7" x14ac:dyDescent="0.2">
      <c r="A69" s="490">
        <v>18</v>
      </c>
      <c r="B69" s="489" t="s">
        <v>1152</v>
      </c>
      <c r="C69" s="491">
        <v>10.3</v>
      </c>
      <c r="D69" s="491">
        <v>10</v>
      </c>
      <c r="E69" s="493">
        <v>4.944</v>
      </c>
      <c r="F69" s="493">
        <v>0.49099999999999999</v>
      </c>
      <c r="G69" s="493">
        <v>0.59399999999999997</v>
      </c>
    </row>
    <row r="70" spans="1:7" x14ac:dyDescent="0.2">
      <c r="A70" s="490">
        <v>19</v>
      </c>
      <c r="B70" s="489" t="s">
        <v>1153</v>
      </c>
      <c r="C70" s="491">
        <v>7.46</v>
      </c>
      <c r="D70" s="491">
        <v>10</v>
      </c>
      <c r="E70" s="493">
        <v>4.6609999999999996</v>
      </c>
      <c r="F70" s="493">
        <v>0.49099999999999999</v>
      </c>
      <c r="G70" s="493">
        <v>0.311</v>
      </c>
    </row>
    <row r="71" spans="1:7" x14ac:dyDescent="0.2">
      <c r="A71" s="490">
        <v>20</v>
      </c>
      <c r="B71" s="489" t="s">
        <v>1154</v>
      </c>
      <c r="C71" s="491">
        <v>6.77</v>
      </c>
      <c r="D71" s="491">
        <v>8</v>
      </c>
      <c r="E71" s="493">
        <v>4.1710000000000003</v>
      </c>
      <c r="F71" s="493">
        <v>0.42599999999999999</v>
      </c>
      <c r="G71" s="493">
        <v>0.441</v>
      </c>
    </row>
    <row r="72" spans="1:7" x14ac:dyDescent="0.2">
      <c r="A72" s="490">
        <v>21</v>
      </c>
      <c r="B72" s="489" t="s">
        <v>1155</v>
      </c>
      <c r="C72" s="491">
        <v>5.41</v>
      </c>
      <c r="D72" s="491">
        <v>8</v>
      </c>
      <c r="E72" s="493">
        <v>4.0010000000000003</v>
      </c>
      <c r="F72" s="493">
        <v>0.42599999999999999</v>
      </c>
      <c r="G72" s="493">
        <v>0.27100000000000002</v>
      </c>
    </row>
    <row r="73" spans="1:7" x14ac:dyDescent="0.2">
      <c r="A73" s="490">
        <v>22</v>
      </c>
      <c r="B73" s="489" t="s">
        <v>1156</v>
      </c>
      <c r="C73" s="491">
        <v>5.88</v>
      </c>
      <c r="D73" s="491">
        <v>7</v>
      </c>
      <c r="E73" s="493">
        <v>3.86</v>
      </c>
      <c r="F73" s="493">
        <v>0.39200000000000002</v>
      </c>
      <c r="G73" s="493">
        <v>0.45</v>
      </c>
    </row>
    <row r="74" spans="1:7" x14ac:dyDescent="0.2">
      <c r="A74" s="490">
        <v>23</v>
      </c>
      <c r="B74" s="489" t="s">
        <v>1157</v>
      </c>
      <c r="C74" s="491">
        <v>4.5</v>
      </c>
      <c r="D74" s="491">
        <v>7</v>
      </c>
      <c r="E74" s="493">
        <v>3.6619999999999999</v>
      </c>
      <c r="F74" s="493">
        <v>0.39200000000000002</v>
      </c>
      <c r="G74" s="493">
        <v>0.252</v>
      </c>
    </row>
    <row r="75" spans="1:7" x14ac:dyDescent="0.2">
      <c r="A75" s="490">
        <v>24</v>
      </c>
      <c r="B75" s="489" t="s">
        <v>1158</v>
      </c>
      <c r="C75" s="491">
        <v>5.07</v>
      </c>
      <c r="D75" s="491">
        <v>6</v>
      </c>
      <c r="E75" s="493">
        <v>3.5649999999999999</v>
      </c>
      <c r="F75" s="493">
        <v>0.35899999999999999</v>
      </c>
      <c r="G75" s="493">
        <v>0.46500000000000002</v>
      </c>
    </row>
    <row r="76" spans="1:7" x14ac:dyDescent="0.2">
      <c r="A76" s="490">
        <v>25</v>
      </c>
      <c r="B76" s="489" t="s">
        <v>1159</v>
      </c>
      <c r="C76" s="491">
        <v>3.67</v>
      </c>
      <c r="D76" s="491">
        <v>6</v>
      </c>
      <c r="E76" s="493">
        <v>3.3319999999999999</v>
      </c>
      <c r="F76" s="493">
        <v>0.35899999999999999</v>
      </c>
      <c r="G76" s="493">
        <v>0.23200000000000001</v>
      </c>
    </row>
    <row r="77" spans="1:7" x14ac:dyDescent="0.2">
      <c r="A77" s="490">
        <v>26</v>
      </c>
      <c r="B77" s="489" t="s">
        <v>1160</v>
      </c>
      <c r="C77" s="491">
        <v>4.34</v>
      </c>
      <c r="D77" s="491">
        <v>5</v>
      </c>
      <c r="E77" s="493">
        <v>3.2839999999999998</v>
      </c>
      <c r="F77" s="493">
        <v>0.32600000000000001</v>
      </c>
      <c r="G77" s="493">
        <v>0.49399999999999999</v>
      </c>
    </row>
    <row r="78" spans="1:7" x14ac:dyDescent="0.2">
      <c r="A78" s="490">
        <v>27</v>
      </c>
      <c r="B78" s="489" t="s">
        <v>1161</v>
      </c>
      <c r="C78" s="491">
        <v>2.94</v>
      </c>
      <c r="D78" s="491">
        <v>5</v>
      </c>
      <c r="E78" s="493">
        <v>3.004</v>
      </c>
      <c r="F78" s="493">
        <v>0.32600000000000001</v>
      </c>
      <c r="G78" s="493">
        <v>0.214</v>
      </c>
    </row>
    <row r="79" spans="1:7" x14ac:dyDescent="0.2">
      <c r="A79" s="490">
        <v>28</v>
      </c>
      <c r="B79" s="489" t="s">
        <v>1162</v>
      </c>
      <c r="C79" s="491">
        <v>2.79</v>
      </c>
      <c r="D79" s="491">
        <v>4</v>
      </c>
      <c r="E79" s="493">
        <v>2.7959999999999998</v>
      </c>
      <c r="F79" s="493">
        <v>0.29299999999999998</v>
      </c>
      <c r="G79" s="493">
        <v>0.32600000000000001</v>
      </c>
    </row>
    <row r="80" spans="1:7" x14ac:dyDescent="0.2">
      <c r="A80" s="490">
        <v>29</v>
      </c>
      <c r="B80" s="489" t="s">
        <v>1163</v>
      </c>
      <c r="C80" s="491">
        <v>2.2599999999999998</v>
      </c>
      <c r="D80" s="491">
        <v>4</v>
      </c>
      <c r="E80" s="493">
        <v>2.6629999999999998</v>
      </c>
      <c r="F80" s="493">
        <v>0.29299999999999998</v>
      </c>
      <c r="G80" s="493">
        <v>0.193</v>
      </c>
    </row>
    <row r="81" spans="1:7" x14ac:dyDescent="0.2">
      <c r="A81" s="490">
        <v>30</v>
      </c>
      <c r="B81" s="489" t="s">
        <v>1164</v>
      </c>
      <c r="C81" s="491">
        <v>2.21</v>
      </c>
      <c r="D81" s="491">
        <v>3</v>
      </c>
      <c r="E81" s="493">
        <v>2.5089999999999999</v>
      </c>
      <c r="F81" s="493">
        <v>0.26</v>
      </c>
      <c r="G81" s="493">
        <v>0.34899999999999998</v>
      </c>
    </row>
    <row r="82" spans="1:7" x14ac:dyDescent="0.2">
      <c r="A82" s="490">
        <v>31</v>
      </c>
      <c r="B82" s="489" t="s">
        <v>1165</v>
      </c>
      <c r="C82" s="491">
        <v>1.67</v>
      </c>
      <c r="D82" s="491">
        <v>3</v>
      </c>
      <c r="E82" s="493">
        <v>2.33</v>
      </c>
      <c r="F82" s="493">
        <v>0.26</v>
      </c>
      <c r="G82" s="493">
        <v>0.17</v>
      </c>
    </row>
  </sheetData>
  <sheetProtection password="D809" sheet="1" objects="1" scenarios="1" selectLockedCells="1"/>
  <mergeCells count="5">
    <mergeCell ref="B50:B51"/>
    <mergeCell ref="B3:C3"/>
    <mergeCell ref="A19:C19"/>
    <mergeCell ref="A20:C20"/>
    <mergeCell ref="A21:C21"/>
  </mergeCells>
  <phoneticPr fontId="15" type="noConversion"/>
  <conditionalFormatting sqref="A19:C21">
    <cfRule type="expression" dxfId="127" priority="1" stopIfTrue="1">
      <formula>(MASTERSWITCH=1)</formula>
    </cfRule>
  </conditionalFormatting>
  <conditionalFormatting sqref="C12:C13">
    <cfRule type="expression" dxfId="126" priority="2" stopIfTrue="1">
      <formula>(MASTERSWITCH=1)</formula>
    </cfRule>
  </conditionalFormatting>
  <printOptions horizontalCentered="1"/>
  <pageMargins left="0.75" right="0.75" top="1.75" bottom="1.5" header="0.5" footer="0.5"/>
  <pageSetup scale="76" orientation="portrait" horizontalDpi="300" verticalDpi="30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0418" r:id="rId5" name="Drop Down 2">
              <controlPr defaultSize="0" autoLine="0" autoPict="0">
                <anchor moveWithCells="1">
                  <from>
                    <xdr:col>2</xdr:col>
                    <xdr:colOff>19050</xdr:colOff>
                    <xdr:row>6</xdr:row>
                    <xdr:rowOff>190500</xdr:rowOff>
                  </from>
                  <to>
                    <xdr:col>3</xdr:col>
                    <xdr:colOff>342900</xdr:colOff>
                    <xdr:row>8</xdr:row>
                    <xdr:rowOff>28575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pageSetUpPr fitToPage="1"/>
  </sheetPr>
  <dimension ref="A1:S212"/>
  <sheetViews>
    <sheetView showRowColHeaders="0" workbookViewId="0">
      <selection activeCell="C13" sqref="C13"/>
    </sheetView>
  </sheetViews>
  <sheetFormatPr defaultRowHeight="12.75" x14ac:dyDescent="0.2"/>
  <cols>
    <col min="1" max="1" width="13.42578125" customWidth="1"/>
    <col min="2" max="2" width="25.7109375" customWidth="1"/>
    <col min="3" max="3" width="9.85546875" customWidth="1"/>
    <col min="9" max="9" width="7.5703125" customWidth="1"/>
  </cols>
  <sheetData>
    <row r="1" spans="1:19" x14ac:dyDescent="0.2">
      <c r="B1" s="25"/>
      <c r="C1" s="25"/>
      <c r="D1" s="25"/>
      <c r="E1" s="25"/>
      <c r="F1" s="25"/>
      <c r="G1" s="25"/>
      <c r="H1" s="25"/>
      <c r="I1" s="25"/>
      <c r="J1" s="25"/>
      <c r="K1" s="25"/>
      <c r="L1" s="25"/>
      <c r="M1" s="25"/>
      <c r="N1" s="25"/>
      <c r="O1" s="25"/>
      <c r="P1" s="25"/>
      <c r="Q1" s="25"/>
      <c r="R1" s="25"/>
      <c r="S1" s="25"/>
    </row>
    <row r="2" spans="1:19" x14ac:dyDescent="0.2">
      <c r="A2" s="26"/>
      <c r="B2" s="25"/>
      <c r="C2" s="25"/>
      <c r="D2" s="25"/>
      <c r="E2" s="25"/>
      <c r="F2" s="25"/>
      <c r="G2" s="25"/>
      <c r="H2" s="25"/>
      <c r="I2" s="25"/>
      <c r="J2" s="25"/>
      <c r="K2" s="25"/>
      <c r="L2" s="25"/>
      <c r="M2" s="25"/>
      <c r="N2" s="25"/>
      <c r="O2" s="25"/>
      <c r="P2" s="25"/>
      <c r="Q2" s="25"/>
      <c r="R2" s="25"/>
      <c r="S2" s="25"/>
    </row>
    <row r="3" spans="1:19" ht="20.25" x14ac:dyDescent="0.3">
      <c r="A3" s="25"/>
      <c r="B3" s="902" t="s">
        <v>1175</v>
      </c>
      <c r="C3" s="902"/>
      <c r="D3" s="902"/>
      <c r="E3" s="25"/>
      <c r="F3" s="25"/>
      <c r="G3" s="25"/>
      <c r="H3" s="25"/>
      <c r="I3" s="25"/>
      <c r="J3" s="25"/>
      <c r="K3" s="25"/>
      <c r="L3" s="25"/>
      <c r="M3" s="25"/>
      <c r="N3" s="25"/>
      <c r="O3" s="25"/>
      <c r="P3" s="25"/>
      <c r="Q3" s="25"/>
      <c r="R3" s="25"/>
      <c r="S3" s="25"/>
    </row>
    <row r="4" spans="1:19" x14ac:dyDescent="0.2">
      <c r="A4" s="25"/>
      <c r="B4" s="25"/>
      <c r="C4" s="25"/>
      <c r="D4" s="25"/>
      <c r="E4" s="25"/>
      <c r="F4" s="25"/>
      <c r="G4" s="25"/>
      <c r="H4" s="25"/>
      <c r="I4" s="25"/>
      <c r="J4" s="25"/>
      <c r="K4" s="25"/>
      <c r="L4" s="25"/>
      <c r="M4" s="25"/>
      <c r="N4" s="25"/>
      <c r="O4" s="25"/>
      <c r="P4" s="25"/>
      <c r="Q4" s="25"/>
      <c r="R4" s="25"/>
      <c r="S4" s="25"/>
    </row>
    <row r="5" spans="1:19" x14ac:dyDescent="0.2">
      <c r="A5" s="25"/>
      <c r="B5" s="25"/>
      <c r="C5" s="494" t="s">
        <v>1169</v>
      </c>
      <c r="D5" s="568">
        <f>LOOKUP(C8,A52:A211,C52:C211)</f>
        <v>24.8</v>
      </c>
      <c r="E5" s="25"/>
      <c r="F5" s="25"/>
      <c r="G5" s="25"/>
      <c r="H5" s="25"/>
      <c r="I5" s="25"/>
      <c r="J5" s="25"/>
      <c r="K5" s="25"/>
      <c r="L5" s="25"/>
      <c r="M5" s="25"/>
      <c r="N5" s="25"/>
      <c r="O5" s="25"/>
      <c r="P5" s="25"/>
      <c r="Q5" s="25"/>
      <c r="R5" s="25"/>
      <c r="S5" s="25"/>
    </row>
    <row r="6" spans="1:19" ht="21.75" x14ac:dyDescent="0.2">
      <c r="A6" s="25"/>
      <c r="B6" s="25"/>
      <c r="C6" s="494" t="s">
        <v>1543</v>
      </c>
      <c r="D6" s="569">
        <f>12*(D5*0.2836)</f>
        <v>84.399360000000001</v>
      </c>
      <c r="E6" s="25"/>
      <c r="F6" s="25"/>
      <c r="G6" s="25"/>
      <c r="H6" s="25"/>
      <c r="I6" s="25"/>
      <c r="J6" s="25"/>
      <c r="K6" s="25"/>
      <c r="L6" s="25"/>
      <c r="M6" s="25"/>
      <c r="N6" s="25"/>
      <c r="O6" s="25"/>
      <c r="P6" s="25"/>
      <c r="Q6" s="25"/>
      <c r="R6" s="25"/>
      <c r="S6" s="25"/>
    </row>
    <row r="7" spans="1:19" ht="15.75" x14ac:dyDescent="0.25">
      <c r="A7" s="25"/>
      <c r="B7" s="25"/>
      <c r="C7" s="25"/>
      <c r="D7" s="25"/>
      <c r="E7" s="25"/>
      <c r="F7" s="25"/>
      <c r="G7" s="499">
        <f>LOOKUP(C8,A52:A82,E52:E82)</f>
        <v>9.9600000000000009</v>
      </c>
      <c r="H7" s="497" t="s">
        <v>1168</v>
      </c>
      <c r="I7" s="25"/>
      <c r="J7" s="25"/>
      <c r="K7" s="25"/>
      <c r="L7" s="25"/>
      <c r="M7" s="25"/>
      <c r="N7" s="25"/>
      <c r="O7" s="25"/>
      <c r="P7" s="25"/>
      <c r="Q7" s="25"/>
      <c r="R7" s="25"/>
      <c r="S7" s="25"/>
    </row>
    <row r="8" spans="1:19" x14ac:dyDescent="0.2">
      <c r="A8" s="25"/>
      <c r="B8" s="42"/>
      <c r="C8" s="35">
        <v>7</v>
      </c>
      <c r="D8" s="25"/>
      <c r="E8" s="25"/>
      <c r="F8" s="25"/>
      <c r="G8" s="25"/>
      <c r="H8" s="25"/>
      <c r="I8" s="25"/>
      <c r="J8" s="25"/>
      <c r="K8" s="25"/>
      <c r="L8" s="25"/>
      <c r="M8" s="25"/>
      <c r="N8" s="25"/>
      <c r="O8" s="25"/>
      <c r="P8" s="25"/>
      <c r="Q8" s="25"/>
      <c r="R8" s="25"/>
      <c r="S8" s="25"/>
    </row>
    <row r="9" spans="1:19" x14ac:dyDescent="0.2">
      <c r="A9" s="25"/>
      <c r="C9" s="25"/>
      <c r="D9" s="25"/>
      <c r="E9" s="25"/>
      <c r="F9" s="25"/>
      <c r="G9" s="25"/>
      <c r="H9" s="25"/>
      <c r="I9" s="25"/>
      <c r="J9" s="25"/>
      <c r="K9" s="25"/>
      <c r="L9" s="25"/>
      <c r="M9" s="25"/>
      <c r="N9" s="25"/>
      <c r="O9" s="25"/>
      <c r="P9" s="25"/>
      <c r="Q9" s="25"/>
      <c r="R9" s="25"/>
      <c r="S9" s="25"/>
    </row>
    <row r="10" spans="1:19" x14ac:dyDescent="0.2">
      <c r="A10" s="25"/>
      <c r="B10" s="25"/>
      <c r="C10" s="25"/>
      <c r="D10" s="25"/>
      <c r="E10" s="25"/>
      <c r="F10" s="25"/>
      <c r="G10" s="25"/>
      <c r="H10" s="25"/>
      <c r="I10" s="25"/>
      <c r="J10" s="25"/>
      <c r="K10" s="25"/>
      <c r="L10" s="25"/>
      <c r="M10" s="25"/>
      <c r="N10" s="25"/>
      <c r="O10" s="25"/>
      <c r="P10" s="25"/>
      <c r="Q10" s="25"/>
      <c r="R10" s="25"/>
      <c r="S10" s="25"/>
    </row>
    <row r="11" spans="1:19" x14ac:dyDescent="0.2">
      <c r="A11" s="25"/>
      <c r="B11" s="25"/>
      <c r="C11" s="25"/>
      <c r="D11" s="25"/>
      <c r="E11" s="25"/>
      <c r="F11" s="25"/>
      <c r="G11" s="25"/>
      <c r="H11" s="25"/>
      <c r="I11" s="25"/>
      <c r="J11" s="25"/>
      <c r="K11" s="25"/>
      <c r="L11" s="25"/>
      <c r="M11" s="25"/>
      <c r="N11" s="25"/>
      <c r="O11" s="25"/>
      <c r="P11" s="25"/>
      <c r="Q11" s="25"/>
      <c r="R11" s="25"/>
      <c r="S11" s="25"/>
    </row>
    <row r="12" spans="1:19" ht="15.75" x14ac:dyDescent="0.25">
      <c r="A12" s="25"/>
      <c r="B12" s="422" t="s">
        <v>1171</v>
      </c>
      <c r="C12" s="518">
        <v>10</v>
      </c>
      <c r="E12" s="25"/>
      <c r="F12" s="25"/>
      <c r="G12" s="25"/>
      <c r="H12" s="25"/>
      <c r="I12" s="25"/>
      <c r="J12" s="498">
        <f>LOOKUP(C8,A52:A82,F52:F82)</f>
        <v>0.64</v>
      </c>
      <c r="K12" s="497" t="s">
        <v>1168</v>
      </c>
      <c r="L12" s="25"/>
      <c r="M12" s="25"/>
      <c r="N12" s="25"/>
      <c r="O12" s="25"/>
      <c r="P12" s="25"/>
      <c r="Q12" s="25"/>
      <c r="R12" s="25"/>
      <c r="S12" s="25"/>
    </row>
    <row r="13" spans="1:19" ht="15.75" customHeight="1" x14ac:dyDescent="0.2">
      <c r="A13" s="25"/>
      <c r="B13" s="422" t="s">
        <v>1170</v>
      </c>
      <c r="C13" s="708">
        <v>0</v>
      </c>
      <c r="D13" s="25"/>
      <c r="E13" s="25"/>
      <c r="F13" s="25"/>
      <c r="G13" s="25"/>
      <c r="H13" s="25"/>
      <c r="I13" s="25"/>
      <c r="J13" s="25"/>
      <c r="K13" s="25"/>
      <c r="L13" s="25"/>
      <c r="M13" s="25"/>
      <c r="N13" s="25"/>
      <c r="O13" s="25"/>
      <c r="P13" s="25"/>
      <c r="Q13" s="25"/>
      <c r="R13" s="25"/>
      <c r="S13" s="25"/>
    </row>
    <row r="14" spans="1:19" x14ac:dyDescent="0.2">
      <c r="A14" s="25"/>
      <c r="B14" s="42" t="s">
        <v>1172</v>
      </c>
      <c r="C14" s="537">
        <f>(C12*12)+C13</f>
        <v>120</v>
      </c>
      <c r="E14" s="25"/>
      <c r="F14" s="25"/>
      <c r="G14" s="25"/>
      <c r="H14" s="25"/>
      <c r="I14" s="25"/>
      <c r="J14" s="25"/>
      <c r="K14" s="25"/>
      <c r="L14" s="25"/>
      <c r="M14" s="25"/>
      <c r="N14" s="25"/>
      <c r="O14" s="25"/>
      <c r="P14" s="25"/>
      <c r="Q14" s="25"/>
      <c r="R14" s="25"/>
      <c r="S14" s="25"/>
    </row>
    <row r="15" spans="1:19" x14ac:dyDescent="0.2">
      <c r="A15" s="25"/>
      <c r="B15" s="25"/>
      <c r="C15" s="25"/>
      <c r="D15" s="25"/>
      <c r="E15" s="25"/>
      <c r="F15" s="25"/>
      <c r="G15" s="25"/>
      <c r="H15" s="25"/>
      <c r="I15" s="25"/>
      <c r="J15" s="25"/>
      <c r="K15" s="25"/>
      <c r="L15" s="25"/>
      <c r="M15" s="25"/>
      <c r="N15" s="25"/>
      <c r="O15" s="25"/>
      <c r="P15" s="25"/>
      <c r="Q15" s="25"/>
      <c r="R15" s="25"/>
      <c r="S15" s="25"/>
    </row>
    <row r="16" spans="1:19" ht="15.75" x14ac:dyDescent="0.25">
      <c r="A16" s="25"/>
      <c r="B16" s="42" t="s">
        <v>1173</v>
      </c>
      <c r="C16" s="565">
        <f>C14*(D5*0.2836)</f>
        <v>843.99360000000001</v>
      </c>
      <c r="D16" s="60" t="s">
        <v>2014</v>
      </c>
      <c r="E16" s="25"/>
      <c r="F16" s="25"/>
      <c r="G16" s="25"/>
      <c r="H16" s="25"/>
      <c r="I16" s="25"/>
      <c r="J16" s="25"/>
      <c r="K16" s="25"/>
      <c r="L16" s="25"/>
      <c r="M16" s="25"/>
      <c r="N16" s="25"/>
      <c r="O16" s="25"/>
      <c r="P16" s="25"/>
      <c r="Q16" s="25"/>
      <c r="R16" s="25"/>
      <c r="S16" s="25"/>
    </row>
    <row r="17" spans="1:19" x14ac:dyDescent="0.2">
      <c r="A17" s="25"/>
      <c r="B17" s="42" t="s">
        <v>1173</v>
      </c>
      <c r="C17" s="566">
        <f>C16/2000</f>
        <v>0.42199680000000001</v>
      </c>
      <c r="D17" s="60" t="s">
        <v>1174</v>
      </c>
      <c r="E17" s="25"/>
      <c r="F17" s="25"/>
      <c r="G17" s="25"/>
      <c r="H17" s="25"/>
      <c r="I17" s="25"/>
      <c r="J17" s="25"/>
      <c r="K17" s="25"/>
      <c r="L17" s="25"/>
      <c r="M17" s="25"/>
      <c r="N17" s="25"/>
      <c r="O17" s="25"/>
      <c r="P17" s="25"/>
      <c r="Q17" s="25"/>
      <c r="R17" s="25"/>
      <c r="S17" s="25"/>
    </row>
    <row r="18" spans="1:19" x14ac:dyDescent="0.2">
      <c r="A18" s="25"/>
      <c r="B18" s="25"/>
      <c r="C18" s="25"/>
      <c r="D18" s="25"/>
      <c r="E18" s="25"/>
      <c r="F18" s="25"/>
      <c r="G18" s="25"/>
      <c r="H18" s="25"/>
      <c r="I18" s="25"/>
      <c r="J18" s="25"/>
      <c r="K18" s="25"/>
      <c r="L18" s="25"/>
      <c r="M18" s="25"/>
      <c r="N18" s="25"/>
      <c r="O18" s="25"/>
      <c r="P18" s="25"/>
      <c r="Q18" s="25"/>
      <c r="R18" s="25"/>
      <c r="S18" s="25"/>
    </row>
    <row r="19" spans="1:19" ht="15.75" x14ac:dyDescent="0.25">
      <c r="A19" s="898" t="str">
        <f>IF(MASTERSWITCH=1,"EVALUATION PERIOD EXPIRED!","")</f>
        <v/>
      </c>
      <c r="B19" s="898"/>
      <c r="C19" s="898"/>
      <c r="D19" s="495">
        <f>LOOKUP(C8,A52:A82,D52:D82)</f>
        <v>26.71</v>
      </c>
      <c r="E19" s="25"/>
      <c r="F19" s="25"/>
      <c r="G19" s="25"/>
      <c r="H19" s="25"/>
      <c r="I19" s="25"/>
      <c r="J19" s="25"/>
      <c r="K19" s="25"/>
      <c r="L19" s="25"/>
      <c r="M19" s="25"/>
      <c r="N19" s="25"/>
      <c r="O19" s="25"/>
      <c r="P19" s="25"/>
      <c r="Q19" s="25"/>
      <c r="R19" s="25"/>
      <c r="S19" s="25"/>
    </row>
    <row r="20" spans="1:19" x14ac:dyDescent="0.2">
      <c r="A20" s="898" t="str">
        <f>IF(MASTERSWITCH=1,"PLEASE PURCHASE LICENSE TO","")</f>
        <v/>
      </c>
      <c r="B20" s="898"/>
      <c r="C20" s="898"/>
      <c r="D20" s="496" t="s">
        <v>1168</v>
      </c>
      <c r="E20" s="25"/>
      <c r="F20" s="25"/>
      <c r="G20" s="25"/>
      <c r="H20" s="25"/>
      <c r="J20" s="25"/>
      <c r="K20" s="25"/>
      <c r="L20" s="25"/>
      <c r="M20" s="25"/>
      <c r="N20" s="25"/>
      <c r="O20" s="25"/>
      <c r="P20" s="25"/>
      <c r="Q20" s="25"/>
      <c r="R20" s="25"/>
      <c r="S20" s="25"/>
    </row>
    <row r="21" spans="1:19" x14ac:dyDescent="0.2">
      <c r="A21" s="898" t="str">
        <f>IF(MASTERSWITCH=1,"CONTINUE USING THIS PROGRAM","")</f>
        <v/>
      </c>
      <c r="B21" s="898"/>
      <c r="C21" s="898"/>
      <c r="D21" s="25"/>
      <c r="E21" s="25"/>
      <c r="F21" s="25"/>
      <c r="G21" s="25"/>
      <c r="H21" s="25"/>
      <c r="I21" s="25"/>
      <c r="J21" s="25"/>
      <c r="K21" s="25"/>
      <c r="L21" s="25"/>
      <c r="M21" s="25"/>
      <c r="N21" s="25"/>
      <c r="O21" s="25"/>
      <c r="P21" s="25"/>
      <c r="Q21" s="25"/>
      <c r="R21" s="25"/>
      <c r="S21" s="25"/>
    </row>
    <row r="22" spans="1:19" ht="15.75" x14ac:dyDescent="0.25">
      <c r="A22" s="25"/>
      <c r="B22" s="25"/>
      <c r="C22" s="25"/>
      <c r="D22" s="25"/>
      <c r="E22" s="25"/>
      <c r="F22" s="25"/>
      <c r="G22" s="25"/>
      <c r="H22" s="25"/>
      <c r="I22" s="25"/>
      <c r="J22" s="498">
        <f>LOOKUP(C8,A52:A82,G52:G82)</f>
        <v>0.46</v>
      </c>
      <c r="K22" s="497" t="s">
        <v>1168</v>
      </c>
      <c r="L22" s="25"/>
      <c r="M22" s="25"/>
      <c r="N22" s="25"/>
      <c r="O22" s="25"/>
      <c r="P22" s="25"/>
      <c r="Q22" s="25"/>
      <c r="R22" s="25"/>
      <c r="S22" s="25"/>
    </row>
    <row r="23" spans="1:19" x14ac:dyDescent="0.2">
      <c r="A23" s="25"/>
      <c r="B23" s="25"/>
      <c r="C23" s="25"/>
      <c r="D23" s="25"/>
      <c r="E23" s="25"/>
      <c r="F23" s="25"/>
      <c r="G23" s="25"/>
      <c r="H23" s="25"/>
      <c r="I23" s="25"/>
      <c r="J23" s="25"/>
      <c r="K23" s="25"/>
      <c r="L23" s="25"/>
      <c r="M23" s="25"/>
      <c r="N23" s="25"/>
      <c r="O23" s="25"/>
      <c r="P23" s="25"/>
      <c r="Q23" s="25"/>
      <c r="R23" s="25"/>
      <c r="S23" s="25"/>
    </row>
    <row r="24" spans="1:19" x14ac:dyDescent="0.2">
      <c r="A24" s="25"/>
      <c r="B24" s="25"/>
      <c r="C24" s="25"/>
      <c r="D24" s="25"/>
      <c r="E24" s="25"/>
      <c r="F24" s="25"/>
      <c r="G24" s="25"/>
      <c r="H24" s="25"/>
      <c r="I24" s="25"/>
      <c r="J24" s="25"/>
      <c r="K24" s="25"/>
      <c r="L24" s="25"/>
      <c r="M24" s="25"/>
      <c r="N24" s="25"/>
      <c r="O24" s="25"/>
      <c r="P24" s="25"/>
      <c r="Q24" s="25"/>
      <c r="R24" s="25"/>
      <c r="S24" s="25"/>
    </row>
    <row r="25" spans="1:19" x14ac:dyDescent="0.2">
      <c r="A25" s="25"/>
      <c r="B25" s="25"/>
      <c r="C25" s="25"/>
      <c r="D25" s="25"/>
      <c r="E25" s="25"/>
      <c r="F25" s="25"/>
      <c r="G25" s="25"/>
      <c r="H25" s="25"/>
      <c r="I25" s="25"/>
      <c r="J25" s="25"/>
      <c r="K25" s="25"/>
      <c r="L25" s="25"/>
      <c r="M25" s="25"/>
      <c r="N25" s="25"/>
      <c r="O25" s="25"/>
      <c r="P25" s="25"/>
      <c r="Q25" s="25"/>
      <c r="R25" s="25"/>
      <c r="S25" s="25"/>
    </row>
    <row r="26" spans="1:19" x14ac:dyDescent="0.2">
      <c r="A26" s="25"/>
      <c r="B26" s="25"/>
      <c r="C26" s="25"/>
      <c r="D26" s="25"/>
      <c r="E26" s="25"/>
      <c r="F26" s="25"/>
      <c r="G26" s="25"/>
      <c r="H26" s="25"/>
      <c r="I26" s="25"/>
      <c r="J26" s="25"/>
      <c r="K26" s="25"/>
      <c r="L26" s="25"/>
      <c r="M26" s="25"/>
      <c r="N26" s="25"/>
      <c r="O26" s="25"/>
      <c r="P26" s="25"/>
      <c r="Q26" s="25"/>
      <c r="R26" s="25"/>
      <c r="S26" s="25"/>
    </row>
    <row r="27" spans="1:19" x14ac:dyDescent="0.2">
      <c r="A27" s="25"/>
      <c r="B27" s="25"/>
      <c r="C27" s="25"/>
      <c r="D27" s="25"/>
      <c r="E27" s="25"/>
      <c r="F27" s="25"/>
      <c r="G27" s="25"/>
      <c r="H27" s="25"/>
      <c r="I27" s="25"/>
      <c r="J27" s="25"/>
      <c r="K27" s="25"/>
      <c r="L27" s="25"/>
      <c r="M27" s="25"/>
      <c r="N27" s="25"/>
      <c r="O27" s="25"/>
      <c r="P27" s="25"/>
      <c r="Q27" s="25"/>
      <c r="R27" s="25"/>
      <c r="S27" s="25"/>
    </row>
    <row r="28" spans="1:19" x14ac:dyDescent="0.2">
      <c r="A28" s="633"/>
      <c r="B28" s="25"/>
      <c r="C28" s="25"/>
      <c r="D28" s="25"/>
      <c r="E28" s="25"/>
      <c r="F28" s="25"/>
      <c r="G28" s="25"/>
      <c r="H28" s="25"/>
      <c r="I28" s="25"/>
      <c r="J28" s="25"/>
      <c r="K28" s="25"/>
      <c r="L28" s="25"/>
      <c r="M28" s="25"/>
      <c r="N28" s="25"/>
      <c r="O28" s="25"/>
      <c r="P28" s="25"/>
      <c r="Q28" s="25"/>
      <c r="R28" s="25"/>
      <c r="S28" s="25"/>
    </row>
    <row r="29" spans="1:19" x14ac:dyDescent="0.2">
      <c r="A29" s="25"/>
      <c r="B29" s="25"/>
      <c r="C29" s="25"/>
      <c r="D29" s="25"/>
      <c r="E29" s="25"/>
      <c r="F29" s="25"/>
      <c r="G29" s="25"/>
      <c r="H29" s="25"/>
      <c r="I29" s="25"/>
      <c r="J29" s="25"/>
      <c r="K29" s="25"/>
      <c r="L29" s="25"/>
      <c r="M29" s="25"/>
      <c r="N29" s="25"/>
      <c r="O29" s="25"/>
      <c r="P29" s="25"/>
      <c r="Q29" s="25"/>
      <c r="R29" s="25"/>
      <c r="S29" s="25"/>
    </row>
    <row r="30" spans="1:19" x14ac:dyDescent="0.2">
      <c r="A30" s="25"/>
      <c r="B30" s="25"/>
      <c r="C30" s="25"/>
      <c r="D30" s="25"/>
      <c r="E30" s="25"/>
      <c r="F30" s="25"/>
      <c r="G30" s="25"/>
      <c r="H30" s="25"/>
      <c r="I30" s="25"/>
      <c r="J30" s="25"/>
      <c r="K30" s="25"/>
      <c r="L30" s="25"/>
      <c r="M30" s="25"/>
      <c r="N30" s="25"/>
      <c r="O30" s="25"/>
      <c r="P30" s="25"/>
      <c r="Q30" s="25"/>
      <c r="R30" s="25"/>
      <c r="S30" s="25"/>
    </row>
    <row r="31" spans="1:19" x14ac:dyDescent="0.2">
      <c r="A31" s="25"/>
      <c r="B31" s="25"/>
      <c r="C31" s="25"/>
      <c r="D31" s="25"/>
      <c r="E31" s="25"/>
      <c r="F31" s="25"/>
      <c r="G31" s="25"/>
      <c r="H31" s="25"/>
      <c r="I31" s="25"/>
      <c r="J31" s="25"/>
      <c r="K31" s="25"/>
      <c r="L31" s="25"/>
      <c r="M31" s="25"/>
      <c r="N31" s="25"/>
      <c r="O31" s="25"/>
      <c r="P31" s="25"/>
      <c r="Q31" s="25"/>
      <c r="R31" s="25"/>
      <c r="S31" s="25"/>
    </row>
    <row r="32" spans="1:19" x14ac:dyDescent="0.2">
      <c r="A32" s="25"/>
      <c r="B32" s="25"/>
      <c r="C32" s="25"/>
      <c r="D32" s="25"/>
      <c r="E32" s="25"/>
      <c r="F32" s="25"/>
      <c r="G32" s="25"/>
      <c r="H32" s="25"/>
      <c r="I32" s="25"/>
      <c r="J32" s="25"/>
      <c r="K32" s="25"/>
      <c r="L32" s="25"/>
      <c r="M32" s="25"/>
      <c r="N32" s="25"/>
      <c r="O32" s="25"/>
      <c r="P32" s="25"/>
      <c r="Q32" s="25"/>
      <c r="R32" s="25"/>
      <c r="S32" s="25"/>
    </row>
    <row r="33" spans="1:19" x14ac:dyDescent="0.2">
      <c r="A33" s="25"/>
      <c r="B33" s="25"/>
      <c r="C33" s="25"/>
      <c r="D33" s="25"/>
      <c r="E33" s="25"/>
      <c r="F33" s="25"/>
      <c r="G33" s="25"/>
      <c r="H33" s="25"/>
      <c r="I33" s="25"/>
      <c r="J33" s="25"/>
      <c r="K33" s="25"/>
      <c r="L33" s="25"/>
      <c r="M33" s="25"/>
      <c r="N33" s="25"/>
      <c r="O33" s="25"/>
      <c r="P33" s="25"/>
      <c r="Q33" s="25"/>
      <c r="R33" s="25"/>
      <c r="S33" s="25"/>
    </row>
    <row r="34" spans="1:19" x14ac:dyDescent="0.2">
      <c r="A34" s="25"/>
      <c r="B34" s="25"/>
      <c r="C34" s="25"/>
      <c r="D34" s="25"/>
      <c r="E34" s="25"/>
      <c r="F34" s="25"/>
      <c r="G34" s="25"/>
      <c r="H34" s="25"/>
      <c r="I34" s="25"/>
      <c r="J34" s="25"/>
      <c r="K34" s="25"/>
      <c r="L34" s="25"/>
      <c r="M34" s="25"/>
      <c r="N34" s="25"/>
      <c r="O34" s="25"/>
      <c r="P34" s="25"/>
      <c r="Q34" s="25"/>
      <c r="R34" s="25"/>
      <c r="S34" s="25"/>
    </row>
    <row r="35" spans="1:19" x14ac:dyDescent="0.2">
      <c r="A35" s="25"/>
      <c r="B35" s="25"/>
      <c r="C35" s="25"/>
      <c r="D35" s="25"/>
      <c r="E35" s="25"/>
      <c r="F35" s="25"/>
      <c r="G35" s="25"/>
      <c r="H35" s="25"/>
      <c r="I35" s="25"/>
      <c r="J35" s="25"/>
      <c r="K35" s="25"/>
      <c r="L35" s="25"/>
      <c r="M35" s="25"/>
      <c r="N35" s="25"/>
      <c r="O35" s="25"/>
      <c r="P35" s="25"/>
      <c r="Q35" s="25"/>
      <c r="R35" s="25"/>
      <c r="S35" s="25"/>
    </row>
    <row r="36" spans="1:19" x14ac:dyDescent="0.2">
      <c r="A36" s="25"/>
      <c r="B36" s="25"/>
      <c r="C36" s="25"/>
      <c r="D36" s="25"/>
      <c r="E36" s="25"/>
      <c r="F36" s="25"/>
      <c r="G36" s="25"/>
      <c r="H36" s="25"/>
      <c r="I36" s="25"/>
      <c r="J36" s="25"/>
      <c r="K36" s="25"/>
      <c r="L36" s="25"/>
      <c r="M36" s="25"/>
      <c r="N36" s="25"/>
      <c r="O36" s="25"/>
      <c r="P36" s="25"/>
      <c r="Q36" s="25"/>
      <c r="R36" s="25"/>
      <c r="S36" s="25"/>
    </row>
    <row r="37" spans="1:19" x14ac:dyDescent="0.2">
      <c r="A37" s="25"/>
      <c r="B37" s="25"/>
      <c r="C37" s="25"/>
      <c r="D37" s="25"/>
      <c r="E37" s="25"/>
      <c r="F37" s="25"/>
      <c r="G37" s="25"/>
      <c r="H37" s="25"/>
      <c r="I37" s="25"/>
      <c r="J37" s="25"/>
      <c r="K37" s="25"/>
      <c r="L37" s="25"/>
      <c r="M37" s="25"/>
      <c r="N37" s="25"/>
      <c r="O37" s="25"/>
      <c r="P37" s="25"/>
      <c r="Q37" s="25"/>
      <c r="R37" s="25"/>
      <c r="S37" s="25"/>
    </row>
    <row r="38" spans="1:19" x14ac:dyDescent="0.2">
      <c r="A38" s="25"/>
      <c r="B38" s="25"/>
      <c r="C38" s="25"/>
      <c r="D38" s="25"/>
      <c r="E38" s="25"/>
      <c r="F38" s="25"/>
      <c r="G38" s="25"/>
      <c r="H38" s="25"/>
      <c r="I38" s="25"/>
      <c r="J38" s="25"/>
      <c r="K38" s="25"/>
      <c r="L38" s="25"/>
      <c r="M38" s="25"/>
      <c r="N38" s="25"/>
      <c r="O38" s="25"/>
      <c r="P38" s="25"/>
      <c r="Q38" s="25"/>
      <c r="R38" s="25"/>
      <c r="S38" s="25"/>
    </row>
    <row r="39" spans="1:19" x14ac:dyDescent="0.2">
      <c r="A39" s="25"/>
      <c r="B39" s="25"/>
      <c r="C39" s="25"/>
      <c r="D39" s="25"/>
      <c r="E39" s="25"/>
      <c r="F39" s="25"/>
      <c r="G39" s="25"/>
      <c r="H39" s="25"/>
      <c r="I39" s="25"/>
      <c r="J39" s="25"/>
      <c r="K39" s="25"/>
      <c r="L39" s="25"/>
      <c r="M39" s="25"/>
      <c r="N39" s="25"/>
      <c r="O39" s="25"/>
      <c r="P39" s="25"/>
      <c r="Q39" s="25"/>
      <c r="R39" s="25"/>
      <c r="S39" s="25"/>
    </row>
    <row r="40" spans="1:19" x14ac:dyDescent="0.2">
      <c r="A40" s="25"/>
      <c r="B40" s="25"/>
      <c r="C40" s="25"/>
      <c r="D40" s="25"/>
      <c r="E40" s="25"/>
      <c r="F40" s="25"/>
      <c r="G40" s="25"/>
      <c r="H40" s="25"/>
      <c r="I40" s="25"/>
      <c r="J40" s="25"/>
      <c r="K40" s="25"/>
      <c r="L40" s="25"/>
      <c r="M40" s="25"/>
      <c r="N40" s="25"/>
      <c r="O40" s="25"/>
      <c r="P40" s="25"/>
      <c r="Q40" s="25"/>
      <c r="R40" s="25"/>
      <c r="S40" s="25"/>
    </row>
    <row r="41" spans="1:19" x14ac:dyDescent="0.2">
      <c r="A41" s="25"/>
      <c r="B41" s="25"/>
      <c r="C41" s="25"/>
      <c r="D41" s="25"/>
      <c r="E41" s="25"/>
      <c r="F41" s="25"/>
      <c r="G41" s="25"/>
      <c r="H41" s="25"/>
      <c r="I41" s="25"/>
      <c r="J41" s="25"/>
      <c r="K41" s="25"/>
      <c r="L41" s="25"/>
      <c r="M41" s="25"/>
      <c r="N41" s="25"/>
      <c r="O41" s="25"/>
      <c r="P41" s="25"/>
      <c r="Q41" s="25"/>
      <c r="R41" s="25"/>
      <c r="S41" s="25"/>
    </row>
    <row r="42" spans="1:19" x14ac:dyDescent="0.2">
      <c r="A42" s="25"/>
      <c r="B42" s="25"/>
      <c r="C42" s="25"/>
      <c r="D42" s="25"/>
      <c r="E42" s="25"/>
      <c r="F42" s="25"/>
      <c r="G42" s="25"/>
      <c r="H42" s="25"/>
      <c r="I42" s="25"/>
      <c r="J42" s="25"/>
      <c r="K42" s="25"/>
      <c r="L42" s="25"/>
      <c r="M42" s="25"/>
      <c r="N42" s="25"/>
      <c r="O42" s="25"/>
      <c r="P42" s="25"/>
      <c r="Q42" s="25"/>
      <c r="R42" s="25"/>
      <c r="S42" s="25"/>
    </row>
    <row r="43" spans="1:19" x14ac:dyDescent="0.2">
      <c r="A43" s="25"/>
      <c r="B43" s="25"/>
      <c r="C43" s="25"/>
      <c r="D43" s="25"/>
      <c r="E43" s="25"/>
      <c r="F43" s="25"/>
      <c r="G43" s="25"/>
      <c r="H43" s="25"/>
      <c r="I43" s="25"/>
      <c r="J43" s="25"/>
      <c r="K43" s="25"/>
      <c r="L43" s="25"/>
      <c r="M43" s="25"/>
      <c r="N43" s="25"/>
      <c r="O43" s="25"/>
      <c r="P43" s="25"/>
      <c r="Q43" s="25"/>
      <c r="R43" s="25"/>
      <c r="S43" s="25"/>
    </row>
    <row r="44" spans="1:19" x14ac:dyDescent="0.2">
      <c r="A44" s="25"/>
      <c r="B44" s="25"/>
      <c r="C44" s="25"/>
      <c r="D44" s="25"/>
      <c r="E44" s="25"/>
      <c r="F44" s="25"/>
      <c r="G44" s="25"/>
      <c r="H44" s="25"/>
      <c r="I44" s="25"/>
      <c r="J44" s="25"/>
      <c r="K44" s="25"/>
      <c r="L44" s="25"/>
      <c r="M44" s="25"/>
      <c r="N44" s="25"/>
      <c r="O44" s="25"/>
      <c r="P44" s="25"/>
      <c r="Q44" s="25"/>
      <c r="R44" s="25"/>
      <c r="S44" s="25"/>
    </row>
    <row r="45" spans="1:19" x14ac:dyDescent="0.2">
      <c r="A45" s="25"/>
      <c r="B45" s="25"/>
      <c r="C45" s="25"/>
      <c r="D45" s="25"/>
      <c r="E45" s="25"/>
      <c r="F45" s="25"/>
      <c r="G45" s="25"/>
      <c r="H45" s="25"/>
      <c r="I45" s="25"/>
      <c r="J45" s="25"/>
      <c r="K45" s="25"/>
      <c r="L45" s="25"/>
      <c r="M45" s="25"/>
      <c r="N45" s="25"/>
      <c r="O45" s="25"/>
      <c r="P45" s="25"/>
      <c r="Q45" s="25"/>
      <c r="R45" s="25"/>
      <c r="S45" s="25"/>
    </row>
    <row r="46" spans="1:19" x14ac:dyDescent="0.2">
      <c r="A46" s="25"/>
      <c r="B46" s="25"/>
      <c r="C46" s="25"/>
      <c r="D46" s="25"/>
      <c r="E46" s="25"/>
      <c r="F46" s="25"/>
      <c r="G46" s="25"/>
      <c r="H46" s="25"/>
      <c r="I46" s="25"/>
      <c r="J46" s="25"/>
      <c r="K46" s="25"/>
      <c r="L46" s="25"/>
      <c r="M46" s="25"/>
      <c r="N46" s="25"/>
      <c r="O46" s="25"/>
      <c r="P46" s="25"/>
      <c r="Q46" s="25"/>
      <c r="R46" s="25"/>
      <c r="S46" s="25"/>
    </row>
    <row r="47" spans="1:19" x14ac:dyDescent="0.2">
      <c r="A47" s="25"/>
      <c r="B47" s="25"/>
      <c r="C47" s="25"/>
      <c r="D47" s="25"/>
      <c r="E47" s="25"/>
      <c r="F47" s="25"/>
      <c r="G47" s="25"/>
      <c r="H47" s="25"/>
      <c r="I47" s="25"/>
      <c r="J47" s="25"/>
      <c r="K47" s="25"/>
      <c r="L47" s="25"/>
      <c r="M47" s="25"/>
      <c r="N47" s="25"/>
      <c r="O47" s="25"/>
      <c r="P47" s="25"/>
      <c r="Q47" s="25"/>
      <c r="R47" s="25"/>
      <c r="S47" s="25"/>
    </row>
    <row r="48" spans="1:19" x14ac:dyDescent="0.2">
      <c r="A48" s="25"/>
      <c r="B48" s="25"/>
      <c r="C48" s="25"/>
      <c r="D48" s="25"/>
      <c r="E48" s="25"/>
      <c r="F48" s="25"/>
      <c r="G48" s="25"/>
      <c r="H48" s="25"/>
      <c r="I48" s="25"/>
      <c r="J48" s="25"/>
      <c r="K48" s="25"/>
      <c r="L48" s="25"/>
      <c r="M48" s="25"/>
      <c r="N48" s="25"/>
      <c r="O48" s="25"/>
      <c r="P48" s="25"/>
      <c r="Q48" s="25"/>
      <c r="R48" s="25"/>
      <c r="S48" s="25"/>
    </row>
    <row r="49" spans="1:19" x14ac:dyDescent="0.2">
      <c r="A49" s="25"/>
      <c r="B49" s="25"/>
      <c r="C49" s="25"/>
      <c r="D49" s="25"/>
      <c r="E49" s="25"/>
      <c r="F49" s="25"/>
      <c r="G49" s="25"/>
      <c r="H49" s="25"/>
      <c r="I49" s="25"/>
      <c r="J49" s="25"/>
      <c r="K49" s="25"/>
      <c r="L49" s="25"/>
      <c r="M49" s="25"/>
      <c r="N49" s="25"/>
      <c r="O49" s="25"/>
      <c r="P49" s="25"/>
      <c r="Q49" s="25"/>
      <c r="R49" s="25"/>
      <c r="S49" s="25"/>
    </row>
    <row r="50" spans="1:19" ht="14.25" x14ac:dyDescent="0.25">
      <c r="B50" s="901" t="s">
        <v>1129</v>
      </c>
      <c r="C50" s="484" t="s">
        <v>754</v>
      </c>
      <c r="D50" s="485" t="s">
        <v>1130</v>
      </c>
      <c r="E50" s="485" t="s">
        <v>1166</v>
      </c>
      <c r="F50" s="485" t="s">
        <v>1131</v>
      </c>
      <c r="G50" s="485" t="s">
        <v>1132</v>
      </c>
      <c r="H50" s="25"/>
      <c r="I50" s="25"/>
      <c r="J50" s="25"/>
      <c r="K50" s="25"/>
      <c r="L50" s="25"/>
      <c r="M50" s="25"/>
      <c r="N50" s="25"/>
      <c r="O50" s="25"/>
      <c r="P50" s="25"/>
      <c r="Q50" s="25"/>
      <c r="R50" s="25"/>
      <c r="S50" s="25"/>
    </row>
    <row r="51" spans="1:19" x14ac:dyDescent="0.2">
      <c r="B51" s="901"/>
      <c r="C51" s="486" t="s">
        <v>1133</v>
      </c>
      <c r="D51" s="486" t="s">
        <v>1134</v>
      </c>
      <c r="E51" s="486" t="s">
        <v>1134</v>
      </c>
      <c r="F51" s="486" t="s">
        <v>1134</v>
      </c>
      <c r="G51" s="486" t="s">
        <v>1134</v>
      </c>
      <c r="H51" s="25"/>
      <c r="I51" s="25"/>
      <c r="J51" s="25"/>
      <c r="K51" s="25"/>
      <c r="L51" s="25"/>
      <c r="M51" s="25"/>
      <c r="N51" s="25"/>
      <c r="O51" s="25"/>
      <c r="P51" s="25"/>
      <c r="Q51" s="25"/>
      <c r="R51" s="25"/>
      <c r="S51" s="25"/>
    </row>
    <row r="52" spans="1:19" x14ac:dyDescent="0.2">
      <c r="A52" s="488">
        <v>1</v>
      </c>
      <c r="B52" s="487" t="s">
        <v>1176</v>
      </c>
      <c r="C52" s="501">
        <v>52.3</v>
      </c>
      <c r="D52" s="501">
        <v>27.81</v>
      </c>
      <c r="E52" s="501">
        <v>14.085000000000001</v>
      </c>
      <c r="F52" s="501">
        <v>1.19</v>
      </c>
      <c r="G52" s="501">
        <v>0.72499999999999998</v>
      </c>
      <c r="H52" s="25"/>
      <c r="I52" s="25"/>
      <c r="J52" s="25"/>
      <c r="K52" s="25"/>
      <c r="L52" s="25"/>
      <c r="M52" s="25"/>
      <c r="N52" s="25"/>
      <c r="O52" s="25"/>
      <c r="P52" s="25"/>
      <c r="Q52" s="25"/>
      <c r="R52" s="25"/>
      <c r="S52" s="25"/>
    </row>
    <row r="53" spans="1:19" x14ac:dyDescent="0.2">
      <c r="A53" s="488">
        <v>2</v>
      </c>
      <c r="B53" s="487" t="s">
        <v>1177</v>
      </c>
      <c r="C53" s="501">
        <v>47.4</v>
      </c>
      <c r="D53" s="501">
        <v>27.59</v>
      </c>
      <c r="E53" s="501">
        <v>14.02</v>
      </c>
      <c r="F53" s="501">
        <v>1.08</v>
      </c>
      <c r="G53" s="501">
        <v>0.66</v>
      </c>
      <c r="H53" s="25"/>
      <c r="I53" s="25"/>
      <c r="J53" s="25"/>
      <c r="K53" s="25"/>
      <c r="L53" s="25"/>
      <c r="M53" s="25"/>
      <c r="N53" s="25"/>
      <c r="O53" s="25"/>
      <c r="P53" s="25"/>
      <c r="Q53" s="25"/>
      <c r="R53" s="25"/>
      <c r="S53" s="25"/>
    </row>
    <row r="54" spans="1:19" x14ac:dyDescent="0.2">
      <c r="A54" s="488">
        <v>3</v>
      </c>
      <c r="B54" s="487" t="s">
        <v>1178</v>
      </c>
      <c r="C54" s="501">
        <v>42.9</v>
      </c>
      <c r="D54" s="501">
        <v>27.38</v>
      </c>
      <c r="E54" s="501">
        <v>13.965</v>
      </c>
      <c r="F54" s="501">
        <v>0.97499999999999998</v>
      </c>
      <c r="G54" s="501">
        <v>0.60499999999999998</v>
      </c>
      <c r="H54" s="25"/>
      <c r="I54" s="25"/>
      <c r="J54" s="25"/>
      <c r="K54" s="25"/>
      <c r="L54" s="25"/>
      <c r="M54" s="25"/>
      <c r="N54" s="25"/>
      <c r="O54" s="25"/>
      <c r="P54" s="25"/>
      <c r="Q54" s="25"/>
      <c r="R54" s="25"/>
      <c r="S54" s="25"/>
    </row>
    <row r="55" spans="1:19" x14ac:dyDescent="0.2">
      <c r="A55" s="488">
        <v>4</v>
      </c>
      <c r="B55" s="487" t="s">
        <v>1179</v>
      </c>
      <c r="C55" s="501">
        <v>33.5</v>
      </c>
      <c r="D55" s="501">
        <v>27.29</v>
      </c>
      <c r="E55" s="501">
        <v>10.07</v>
      </c>
      <c r="F55" s="501">
        <v>0.93</v>
      </c>
      <c r="G55" s="501">
        <v>0.56999999999999995</v>
      </c>
      <c r="H55" s="25"/>
      <c r="I55" s="25"/>
      <c r="J55" s="25"/>
      <c r="K55" s="25"/>
      <c r="L55" s="25"/>
      <c r="M55" s="25"/>
      <c r="N55" s="25"/>
      <c r="O55" s="25"/>
      <c r="P55" s="25"/>
      <c r="Q55" s="25"/>
      <c r="R55" s="25"/>
      <c r="S55" s="25"/>
    </row>
    <row r="56" spans="1:19" x14ac:dyDescent="0.2">
      <c r="A56" s="488">
        <v>5</v>
      </c>
      <c r="B56" s="487" t="s">
        <v>1180</v>
      </c>
      <c r="C56" s="501">
        <v>30</v>
      </c>
      <c r="D56" s="501">
        <v>27.09</v>
      </c>
      <c r="E56" s="501">
        <v>10.015000000000001</v>
      </c>
      <c r="F56" s="501">
        <v>0.83</v>
      </c>
      <c r="G56" s="501">
        <v>0.51500000000000001</v>
      </c>
      <c r="H56" s="25"/>
      <c r="I56" s="25"/>
      <c r="J56" s="25"/>
      <c r="K56" s="25"/>
      <c r="L56" s="25"/>
      <c r="M56" s="25"/>
      <c r="N56" s="25"/>
      <c r="O56" s="25"/>
      <c r="P56" s="25"/>
      <c r="Q56" s="25"/>
      <c r="R56" s="25"/>
      <c r="S56" s="25"/>
    </row>
    <row r="57" spans="1:19" x14ac:dyDescent="0.2">
      <c r="A57" s="488">
        <v>6</v>
      </c>
      <c r="B57" s="487" t="s">
        <v>1181</v>
      </c>
      <c r="C57" s="501">
        <v>27.7</v>
      </c>
      <c r="D57" s="501">
        <v>26.92</v>
      </c>
      <c r="E57" s="501">
        <v>9.99</v>
      </c>
      <c r="F57" s="501">
        <v>0.745</v>
      </c>
      <c r="G57" s="501">
        <v>0.49</v>
      </c>
      <c r="H57" s="25"/>
      <c r="I57" s="25"/>
      <c r="J57" s="25"/>
      <c r="K57" s="25"/>
      <c r="L57" s="25"/>
      <c r="M57" s="25"/>
      <c r="N57" s="25"/>
      <c r="O57" s="25"/>
      <c r="P57" s="25"/>
      <c r="Q57" s="25"/>
      <c r="R57" s="25"/>
      <c r="S57" s="25"/>
    </row>
    <row r="58" spans="1:19" x14ac:dyDescent="0.2">
      <c r="A58" s="488">
        <v>7</v>
      </c>
      <c r="B58" s="487" t="s">
        <v>1182</v>
      </c>
      <c r="C58" s="501">
        <v>24.8</v>
      </c>
      <c r="D58" s="501">
        <v>26.71</v>
      </c>
      <c r="E58" s="501">
        <v>9.9600000000000009</v>
      </c>
      <c r="F58" s="501">
        <v>0.64</v>
      </c>
      <c r="G58" s="501">
        <v>0.46</v>
      </c>
      <c r="H58" s="25"/>
      <c r="I58" s="25"/>
      <c r="J58" s="25"/>
      <c r="K58" s="25"/>
      <c r="L58" s="25"/>
      <c r="M58" s="25"/>
      <c r="N58" s="25"/>
      <c r="O58" s="25"/>
      <c r="P58" s="25"/>
      <c r="Q58" s="25"/>
      <c r="R58" s="25"/>
      <c r="S58" s="25"/>
    </row>
    <row r="59" spans="1:19" x14ac:dyDescent="0.2">
      <c r="A59" s="488">
        <v>8</v>
      </c>
      <c r="B59" s="487" t="s">
        <v>1183</v>
      </c>
      <c r="C59" s="501">
        <v>47.7</v>
      </c>
      <c r="D59" s="501">
        <v>25</v>
      </c>
      <c r="E59" s="501">
        <v>12.955</v>
      </c>
      <c r="F59" s="501">
        <v>1.22</v>
      </c>
      <c r="G59" s="501">
        <v>0.70499999999999996</v>
      </c>
      <c r="H59" s="25"/>
      <c r="I59" s="25"/>
      <c r="J59" s="25"/>
      <c r="K59" s="25"/>
      <c r="L59" s="25"/>
      <c r="M59" s="25"/>
      <c r="N59" s="25"/>
      <c r="O59" s="25"/>
      <c r="P59" s="25"/>
      <c r="Q59" s="25"/>
      <c r="R59" s="25"/>
      <c r="S59" s="25"/>
    </row>
    <row r="60" spans="1:19" x14ac:dyDescent="0.2">
      <c r="A60" s="488">
        <v>9</v>
      </c>
      <c r="B60" s="487" t="s">
        <v>1184</v>
      </c>
      <c r="C60" s="501">
        <v>43</v>
      </c>
      <c r="D60" s="501">
        <v>24.74</v>
      </c>
      <c r="E60" s="501">
        <v>12.9</v>
      </c>
      <c r="F60" s="501">
        <v>1.0900000000000001</v>
      </c>
      <c r="G60" s="501">
        <v>0.65</v>
      </c>
      <c r="H60" s="25"/>
      <c r="I60" s="25"/>
      <c r="J60" s="25"/>
      <c r="K60" s="25"/>
      <c r="L60" s="25"/>
      <c r="M60" s="25"/>
      <c r="N60" s="25"/>
      <c r="O60" s="25"/>
      <c r="P60" s="25"/>
      <c r="Q60" s="25"/>
      <c r="R60" s="25"/>
      <c r="S60" s="25"/>
    </row>
    <row r="61" spans="1:19" x14ac:dyDescent="0.2">
      <c r="A61" s="488">
        <v>10</v>
      </c>
      <c r="B61" s="487" t="s">
        <v>1185</v>
      </c>
      <c r="C61" s="501">
        <v>38.5</v>
      </c>
      <c r="D61" s="501">
        <v>24.48</v>
      </c>
      <c r="E61" s="501">
        <v>12.855</v>
      </c>
      <c r="F61" s="501">
        <v>0.96</v>
      </c>
      <c r="G61" s="501">
        <v>0.60499999999999998</v>
      </c>
      <c r="H61" s="25"/>
      <c r="I61" s="25"/>
      <c r="J61" s="25"/>
      <c r="K61" s="25"/>
      <c r="L61" s="25"/>
      <c r="M61" s="25"/>
      <c r="N61" s="25"/>
      <c r="O61" s="25"/>
      <c r="P61" s="25"/>
      <c r="Q61" s="25"/>
      <c r="R61" s="25"/>
      <c r="S61" s="25"/>
    </row>
    <row r="62" spans="1:19" x14ac:dyDescent="0.2">
      <c r="A62" s="488">
        <v>11</v>
      </c>
      <c r="B62" s="487" t="s">
        <v>1186</v>
      </c>
      <c r="C62" s="501">
        <v>34.4</v>
      </c>
      <c r="D62" s="501">
        <v>24.26</v>
      </c>
      <c r="E62" s="501">
        <v>12.8</v>
      </c>
      <c r="F62" s="501">
        <v>0.85</v>
      </c>
      <c r="G62" s="501">
        <v>0.55000000000000004</v>
      </c>
      <c r="H62" s="25"/>
      <c r="I62" s="25"/>
      <c r="J62" s="25"/>
      <c r="K62" s="25"/>
      <c r="L62" s="25"/>
      <c r="M62" s="25"/>
      <c r="N62" s="25"/>
      <c r="O62" s="25"/>
      <c r="P62" s="25"/>
      <c r="Q62" s="25"/>
      <c r="R62" s="25"/>
      <c r="S62" s="25"/>
    </row>
    <row r="63" spans="1:19" x14ac:dyDescent="0.2">
      <c r="A63" s="488">
        <v>12</v>
      </c>
      <c r="B63" s="487" t="s">
        <v>1187</v>
      </c>
      <c r="C63" s="501">
        <v>30.6</v>
      </c>
      <c r="D63" s="501">
        <v>24.06</v>
      </c>
      <c r="E63" s="501">
        <v>12.75</v>
      </c>
      <c r="F63" s="501">
        <v>0.75</v>
      </c>
      <c r="G63" s="501">
        <v>0.5</v>
      </c>
      <c r="H63" s="25"/>
      <c r="I63" s="25"/>
      <c r="J63" s="25"/>
      <c r="K63" s="25"/>
      <c r="L63" s="25"/>
      <c r="M63" s="25"/>
      <c r="N63" s="25"/>
      <c r="O63" s="25"/>
      <c r="P63" s="25"/>
      <c r="Q63" s="25"/>
      <c r="R63" s="25"/>
      <c r="S63" s="25"/>
    </row>
    <row r="64" spans="1:19" x14ac:dyDescent="0.2">
      <c r="A64" s="488">
        <v>13</v>
      </c>
      <c r="B64" s="487" t="s">
        <v>1188</v>
      </c>
      <c r="C64" s="501">
        <v>27.7</v>
      </c>
      <c r="D64" s="501">
        <v>24.31</v>
      </c>
      <c r="E64" s="501">
        <v>9.0649999999999995</v>
      </c>
      <c r="F64" s="501">
        <v>0.875</v>
      </c>
      <c r="G64" s="501">
        <v>0.51500000000000001</v>
      </c>
      <c r="H64" s="25"/>
      <c r="I64" s="25"/>
      <c r="J64" s="25"/>
      <c r="K64" s="25"/>
      <c r="L64" s="25"/>
      <c r="M64" s="25"/>
      <c r="N64" s="25"/>
      <c r="O64" s="25"/>
      <c r="P64" s="25"/>
      <c r="Q64" s="25"/>
      <c r="R64" s="25"/>
      <c r="S64" s="25"/>
    </row>
    <row r="65" spans="1:19" x14ac:dyDescent="0.2">
      <c r="A65" s="488">
        <v>14</v>
      </c>
      <c r="B65" s="487" t="s">
        <v>1189</v>
      </c>
      <c r="C65" s="501">
        <v>24.7</v>
      </c>
      <c r="D65" s="501">
        <v>24.1</v>
      </c>
      <c r="E65" s="501">
        <v>9.02</v>
      </c>
      <c r="F65" s="501">
        <v>0.77</v>
      </c>
      <c r="G65" s="501">
        <v>0.47</v>
      </c>
      <c r="H65" s="25"/>
      <c r="I65" s="25"/>
      <c r="J65" s="25"/>
      <c r="K65" s="25"/>
      <c r="L65" s="25"/>
      <c r="M65" s="25"/>
      <c r="N65" s="25"/>
      <c r="O65" s="25"/>
      <c r="P65" s="25"/>
      <c r="Q65" s="25"/>
      <c r="R65" s="25"/>
      <c r="S65" s="25"/>
    </row>
    <row r="66" spans="1:19" x14ac:dyDescent="0.2">
      <c r="A66" s="488">
        <v>15</v>
      </c>
      <c r="B66" s="487" t="s">
        <v>1190</v>
      </c>
      <c r="C66" s="501">
        <v>22.4</v>
      </c>
      <c r="D66" s="501">
        <v>23.92</v>
      </c>
      <c r="E66" s="501">
        <v>8.99</v>
      </c>
      <c r="F66" s="501">
        <v>0.68</v>
      </c>
      <c r="G66" s="501">
        <v>0.44</v>
      </c>
      <c r="H66" s="25"/>
      <c r="I66" s="25"/>
      <c r="J66" s="25"/>
      <c r="K66" s="25"/>
      <c r="L66" s="25"/>
      <c r="M66" s="25"/>
      <c r="N66" s="25"/>
      <c r="O66" s="25"/>
      <c r="P66" s="25"/>
      <c r="Q66" s="25"/>
      <c r="R66" s="25"/>
      <c r="S66" s="25"/>
    </row>
    <row r="67" spans="1:19" x14ac:dyDescent="0.2">
      <c r="A67" s="488">
        <v>16</v>
      </c>
      <c r="B67" s="487" t="s">
        <v>1191</v>
      </c>
      <c r="C67" s="501">
        <v>20.100000000000001</v>
      </c>
      <c r="D67" s="501">
        <v>23.73</v>
      </c>
      <c r="E67" s="501">
        <v>8.9649999999999999</v>
      </c>
      <c r="F67" s="501">
        <v>0.58499999999999996</v>
      </c>
      <c r="G67" s="501">
        <v>0.41499999999999998</v>
      </c>
      <c r="H67" s="25"/>
      <c r="I67" s="25"/>
      <c r="J67" s="25"/>
      <c r="K67" s="25"/>
      <c r="L67" s="25"/>
      <c r="M67" s="25"/>
      <c r="N67" s="25"/>
      <c r="O67" s="25"/>
      <c r="P67" s="25"/>
      <c r="Q67" s="25"/>
      <c r="R67" s="25"/>
      <c r="S67" s="25"/>
    </row>
    <row r="68" spans="1:19" x14ac:dyDescent="0.2">
      <c r="A68" s="488">
        <v>17</v>
      </c>
      <c r="B68" s="487" t="s">
        <v>1192</v>
      </c>
      <c r="C68" s="501">
        <v>18.2</v>
      </c>
      <c r="D68" s="501">
        <v>23.74</v>
      </c>
      <c r="E68" s="501">
        <v>7.04</v>
      </c>
      <c r="F68" s="501">
        <v>0.59</v>
      </c>
      <c r="G68" s="501">
        <v>0.43</v>
      </c>
      <c r="H68" s="25"/>
      <c r="I68" s="25"/>
      <c r="J68" s="25"/>
      <c r="K68" s="25"/>
      <c r="L68" s="25"/>
      <c r="M68" s="25"/>
      <c r="N68" s="25"/>
      <c r="O68" s="25"/>
      <c r="P68" s="25"/>
      <c r="Q68" s="25"/>
      <c r="R68" s="25"/>
      <c r="S68" s="25"/>
    </row>
    <row r="69" spans="1:19" x14ac:dyDescent="0.2">
      <c r="A69" s="488">
        <v>18</v>
      </c>
      <c r="B69" s="487" t="s">
        <v>1193</v>
      </c>
      <c r="C69" s="501">
        <v>16.2</v>
      </c>
      <c r="D69" s="501">
        <v>23.57</v>
      </c>
      <c r="E69" s="501">
        <v>7.0049999999999999</v>
      </c>
      <c r="F69" s="501">
        <v>0.505</v>
      </c>
      <c r="G69" s="501">
        <v>0.39500000000000002</v>
      </c>
      <c r="H69" s="25"/>
      <c r="I69" s="25"/>
      <c r="J69" s="25"/>
      <c r="K69" s="25"/>
      <c r="L69" s="25"/>
      <c r="M69" s="25"/>
      <c r="N69" s="25"/>
      <c r="O69" s="25"/>
      <c r="P69" s="25"/>
      <c r="Q69" s="25"/>
      <c r="R69" s="25"/>
      <c r="S69" s="25"/>
    </row>
    <row r="70" spans="1:19" x14ac:dyDescent="0.2">
      <c r="A70" s="488">
        <v>19</v>
      </c>
      <c r="B70" s="487" t="s">
        <v>1194</v>
      </c>
      <c r="C70" s="501">
        <v>43.2</v>
      </c>
      <c r="D70" s="501">
        <v>22.06</v>
      </c>
      <c r="E70" s="501">
        <v>12.51</v>
      </c>
      <c r="F70" s="501">
        <v>1.1499999999999999</v>
      </c>
      <c r="G70" s="501">
        <v>0.72</v>
      </c>
      <c r="H70" s="25"/>
      <c r="I70" s="25"/>
      <c r="J70" s="25"/>
      <c r="K70" s="25"/>
      <c r="L70" s="25"/>
      <c r="M70" s="25"/>
      <c r="N70" s="25"/>
      <c r="O70" s="25"/>
      <c r="P70" s="25"/>
      <c r="Q70" s="25"/>
      <c r="R70" s="25"/>
      <c r="S70" s="25"/>
    </row>
    <row r="71" spans="1:19" x14ac:dyDescent="0.2">
      <c r="A71" s="488">
        <v>20</v>
      </c>
      <c r="B71" s="487" t="s">
        <v>1195</v>
      </c>
      <c r="C71" s="501">
        <v>38.799999999999997</v>
      </c>
      <c r="D71" s="501">
        <v>21.83</v>
      </c>
      <c r="E71" s="501">
        <v>12.44</v>
      </c>
      <c r="F71" s="501">
        <v>1.0349999999999999</v>
      </c>
      <c r="G71" s="501">
        <v>0.65</v>
      </c>
      <c r="H71" s="25"/>
      <c r="I71" s="25"/>
      <c r="J71" s="25"/>
      <c r="K71" s="25"/>
      <c r="L71" s="25"/>
      <c r="M71" s="25"/>
      <c r="N71" s="25"/>
      <c r="O71" s="25"/>
      <c r="P71" s="25"/>
      <c r="Q71" s="25"/>
      <c r="R71" s="25"/>
      <c r="S71" s="25"/>
    </row>
    <row r="72" spans="1:19" x14ac:dyDescent="0.2">
      <c r="A72" s="488">
        <v>21</v>
      </c>
      <c r="B72" s="487" t="s">
        <v>1196</v>
      </c>
      <c r="C72" s="501">
        <v>35.9</v>
      </c>
      <c r="D72" s="501">
        <v>21.68</v>
      </c>
      <c r="E72" s="501">
        <v>12.39</v>
      </c>
      <c r="F72" s="501">
        <v>0.96</v>
      </c>
      <c r="G72" s="501">
        <v>0.6</v>
      </c>
      <c r="H72" s="25"/>
      <c r="I72" s="25"/>
      <c r="J72" s="25"/>
      <c r="K72" s="25"/>
      <c r="L72" s="25"/>
      <c r="M72" s="25"/>
      <c r="N72" s="25"/>
      <c r="O72" s="25"/>
      <c r="P72" s="25"/>
      <c r="Q72" s="25"/>
      <c r="R72" s="25"/>
      <c r="S72" s="25"/>
    </row>
    <row r="73" spans="1:19" x14ac:dyDescent="0.2">
      <c r="A73" s="488">
        <v>22</v>
      </c>
      <c r="B73" s="487" t="s">
        <v>1197</v>
      </c>
      <c r="C73" s="501">
        <v>32.700000000000003</v>
      </c>
      <c r="D73" s="501">
        <v>21.51</v>
      </c>
      <c r="E73" s="501">
        <v>12.34</v>
      </c>
      <c r="F73" s="501">
        <v>0.875</v>
      </c>
      <c r="G73" s="501">
        <v>0.55000000000000004</v>
      </c>
      <c r="H73" s="25"/>
      <c r="I73" s="25"/>
      <c r="J73" s="25"/>
      <c r="K73" s="25"/>
      <c r="L73" s="25"/>
      <c r="M73" s="25"/>
      <c r="N73" s="25"/>
      <c r="O73" s="25"/>
      <c r="P73" s="25"/>
      <c r="Q73" s="25"/>
      <c r="R73" s="25"/>
      <c r="S73" s="25"/>
    </row>
    <row r="74" spans="1:19" x14ac:dyDescent="0.2">
      <c r="A74" s="488">
        <v>23</v>
      </c>
      <c r="B74" s="487" t="s">
        <v>1198</v>
      </c>
      <c r="C74" s="501">
        <v>29.8</v>
      </c>
      <c r="D74" s="501">
        <v>21.36</v>
      </c>
      <c r="E74" s="501">
        <v>12.29</v>
      </c>
      <c r="F74" s="501">
        <v>0.8</v>
      </c>
      <c r="G74" s="501">
        <v>0.5</v>
      </c>
      <c r="H74" s="25"/>
      <c r="I74" s="25"/>
      <c r="J74" s="25"/>
      <c r="K74" s="25"/>
      <c r="L74" s="25"/>
      <c r="M74" s="25"/>
      <c r="N74" s="25"/>
      <c r="O74" s="25"/>
      <c r="P74" s="25"/>
      <c r="Q74" s="25"/>
      <c r="R74" s="25"/>
      <c r="S74" s="25"/>
    </row>
    <row r="75" spans="1:19" x14ac:dyDescent="0.2">
      <c r="A75" s="488">
        <v>24</v>
      </c>
      <c r="B75" s="487" t="s">
        <v>1199</v>
      </c>
      <c r="C75" s="501">
        <v>27.3</v>
      </c>
      <c r="D75" s="501">
        <v>21.62</v>
      </c>
      <c r="E75" s="501">
        <v>8.42</v>
      </c>
      <c r="F75" s="501">
        <v>0.93</v>
      </c>
      <c r="G75" s="501">
        <v>0.57999999999999996</v>
      </c>
      <c r="H75" s="25"/>
      <c r="I75" s="25"/>
      <c r="J75" s="25"/>
      <c r="K75" s="25"/>
      <c r="L75" s="25"/>
      <c r="M75" s="25"/>
      <c r="N75" s="25"/>
      <c r="O75" s="25"/>
      <c r="P75" s="25"/>
      <c r="Q75" s="25"/>
      <c r="R75" s="25"/>
      <c r="S75" s="25"/>
    </row>
    <row r="76" spans="1:19" x14ac:dyDescent="0.2">
      <c r="A76" s="488">
        <v>25</v>
      </c>
      <c r="B76" s="487" t="s">
        <v>1200</v>
      </c>
      <c r="C76" s="501">
        <v>24.3</v>
      </c>
      <c r="D76" s="501">
        <v>21.43</v>
      </c>
      <c r="E76" s="501">
        <v>8.3550000000000004</v>
      </c>
      <c r="F76" s="501">
        <v>0.83499999999999996</v>
      </c>
      <c r="G76" s="501">
        <v>0.51500000000000001</v>
      </c>
      <c r="H76" s="25"/>
      <c r="I76" s="25"/>
      <c r="J76" s="25"/>
      <c r="K76" s="25"/>
      <c r="L76" s="25"/>
      <c r="M76" s="25"/>
      <c r="N76" s="25"/>
      <c r="O76" s="25"/>
      <c r="P76" s="25"/>
      <c r="Q76" s="25"/>
      <c r="R76" s="25"/>
      <c r="S76" s="25"/>
    </row>
    <row r="77" spans="1:19" x14ac:dyDescent="0.2">
      <c r="A77" s="488">
        <v>26</v>
      </c>
      <c r="B77" s="487" t="s">
        <v>1201</v>
      </c>
      <c r="C77" s="501">
        <v>21.5</v>
      </c>
      <c r="D77" s="501">
        <v>21.24</v>
      </c>
      <c r="E77" s="501">
        <v>8.2949999999999999</v>
      </c>
      <c r="F77" s="501">
        <v>0.74</v>
      </c>
      <c r="G77" s="501">
        <v>0.45500000000000002</v>
      </c>
      <c r="H77" s="25"/>
      <c r="I77" s="25"/>
      <c r="J77" s="25"/>
      <c r="K77" s="25"/>
      <c r="L77" s="25"/>
      <c r="M77" s="25"/>
      <c r="N77" s="25"/>
      <c r="O77" s="25"/>
      <c r="P77" s="25"/>
      <c r="Q77" s="25"/>
      <c r="R77" s="25"/>
      <c r="S77" s="25"/>
    </row>
    <row r="78" spans="1:19" x14ac:dyDescent="0.2">
      <c r="A78" s="488">
        <v>27</v>
      </c>
      <c r="B78" s="487" t="s">
        <v>1202</v>
      </c>
      <c r="C78" s="501">
        <v>20</v>
      </c>
      <c r="D78" s="501">
        <v>21.13</v>
      </c>
      <c r="E78" s="501">
        <v>8.27</v>
      </c>
      <c r="F78" s="501">
        <v>0.68500000000000005</v>
      </c>
      <c r="G78" s="501">
        <v>0.43</v>
      </c>
      <c r="H78" s="25"/>
      <c r="I78" s="25"/>
      <c r="J78" s="25"/>
      <c r="K78" s="25"/>
      <c r="L78" s="25"/>
      <c r="M78" s="25"/>
      <c r="N78" s="25"/>
      <c r="O78" s="25"/>
      <c r="P78" s="25"/>
      <c r="Q78" s="25"/>
      <c r="R78" s="25"/>
      <c r="S78" s="25"/>
    </row>
    <row r="79" spans="1:19" x14ac:dyDescent="0.2">
      <c r="A79" s="488">
        <v>28</v>
      </c>
      <c r="B79" s="487" t="s">
        <v>1203</v>
      </c>
      <c r="C79" s="501">
        <v>18.3</v>
      </c>
      <c r="D79" s="501">
        <v>20.99</v>
      </c>
      <c r="E79" s="501">
        <v>8.24</v>
      </c>
      <c r="F79" s="501">
        <v>0.61499999999999999</v>
      </c>
      <c r="G79" s="501">
        <v>0.4</v>
      </c>
      <c r="H79" s="25"/>
      <c r="I79" s="25"/>
      <c r="J79" s="25"/>
      <c r="K79" s="25"/>
      <c r="L79" s="25"/>
      <c r="M79" s="25"/>
      <c r="N79" s="25"/>
      <c r="O79" s="25"/>
      <c r="P79" s="25"/>
      <c r="Q79" s="25"/>
      <c r="R79" s="25"/>
      <c r="S79" s="25"/>
    </row>
    <row r="80" spans="1:19" x14ac:dyDescent="0.2">
      <c r="A80" s="488">
        <v>29</v>
      </c>
      <c r="B80" s="487" t="s">
        <v>1204</v>
      </c>
      <c r="C80" s="501">
        <v>16.7</v>
      </c>
      <c r="D80" s="501">
        <v>21.06</v>
      </c>
      <c r="E80" s="501">
        <v>6.5549999999999997</v>
      </c>
      <c r="F80" s="501">
        <v>0.65</v>
      </c>
      <c r="G80" s="501">
        <v>0.40500000000000003</v>
      </c>
      <c r="H80" s="25"/>
      <c r="I80" s="25"/>
      <c r="J80" s="25"/>
      <c r="K80" s="25"/>
      <c r="L80" s="25"/>
      <c r="M80" s="25"/>
      <c r="N80" s="25"/>
      <c r="O80" s="25"/>
      <c r="P80" s="25"/>
      <c r="Q80" s="25"/>
      <c r="R80" s="25"/>
      <c r="S80" s="25"/>
    </row>
    <row r="81" spans="1:19" x14ac:dyDescent="0.2">
      <c r="A81" s="488">
        <v>30</v>
      </c>
      <c r="B81" s="487" t="s">
        <v>1205</v>
      </c>
      <c r="C81" s="501">
        <v>14.7</v>
      </c>
      <c r="D81" s="501">
        <v>20.83</v>
      </c>
      <c r="E81" s="501">
        <v>6.53</v>
      </c>
      <c r="F81" s="501">
        <v>0.53500000000000003</v>
      </c>
      <c r="G81" s="501">
        <v>0.38</v>
      </c>
      <c r="H81" s="25"/>
      <c r="I81" s="25"/>
      <c r="J81" s="25"/>
      <c r="K81" s="25"/>
      <c r="L81" s="25"/>
      <c r="M81" s="25"/>
      <c r="N81" s="25"/>
      <c r="O81" s="25"/>
      <c r="P81" s="25"/>
      <c r="Q81" s="25"/>
      <c r="R81" s="25"/>
      <c r="S81" s="25"/>
    </row>
    <row r="82" spans="1:19" x14ac:dyDescent="0.2">
      <c r="A82" s="488">
        <v>31</v>
      </c>
      <c r="B82" s="487" t="s">
        <v>1206</v>
      </c>
      <c r="C82" s="501">
        <v>13</v>
      </c>
      <c r="D82" s="501">
        <v>20.66</v>
      </c>
      <c r="E82" s="501">
        <v>6.5</v>
      </c>
      <c r="F82" s="501">
        <v>0.45</v>
      </c>
      <c r="G82" s="501">
        <v>0.35</v>
      </c>
      <c r="H82" s="25"/>
      <c r="I82" s="25"/>
      <c r="J82" s="25"/>
      <c r="K82" s="25"/>
      <c r="L82" s="25"/>
      <c r="M82" s="25"/>
      <c r="N82" s="25"/>
      <c r="O82" s="25"/>
      <c r="P82" s="25"/>
      <c r="Q82" s="25"/>
      <c r="R82" s="25"/>
      <c r="S82" s="25"/>
    </row>
    <row r="83" spans="1:19" x14ac:dyDescent="0.2">
      <c r="A83" s="488">
        <v>32</v>
      </c>
      <c r="B83" s="487" t="s">
        <v>1207</v>
      </c>
      <c r="C83" s="501">
        <v>35.1</v>
      </c>
      <c r="D83" s="501">
        <v>18.97</v>
      </c>
      <c r="E83" s="501">
        <v>11.265000000000001</v>
      </c>
      <c r="F83" s="501">
        <v>1.06</v>
      </c>
      <c r="G83" s="501">
        <v>0.65500000000000003</v>
      </c>
      <c r="H83" s="25"/>
      <c r="I83" s="25"/>
      <c r="J83" s="25"/>
      <c r="K83" s="25"/>
      <c r="L83" s="25"/>
      <c r="M83" s="25"/>
      <c r="N83" s="25"/>
      <c r="O83" s="25"/>
      <c r="P83" s="25"/>
      <c r="Q83" s="25"/>
      <c r="R83" s="25"/>
      <c r="S83" s="25"/>
    </row>
    <row r="84" spans="1:19" x14ac:dyDescent="0.2">
      <c r="A84" s="488">
        <v>33</v>
      </c>
      <c r="B84" s="487" t="s">
        <v>1208</v>
      </c>
      <c r="C84" s="501">
        <v>31.1</v>
      </c>
      <c r="D84" s="501">
        <v>18.73</v>
      </c>
      <c r="E84" s="501">
        <v>11.2</v>
      </c>
      <c r="F84" s="501">
        <v>0.94</v>
      </c>
      <c r="G84" s="501">
        <v>0.59</v>
      </c>
      <c r="H84" s="25"/>
      <c r="I84" s="25"/>
      <c r="J84" s="25"/>
      <c r="K84" s="25"/>
      <c r="L84" s="25"/>
      <c r="M84" s="25"/>
      <c r="N84" s="25"/>
      <c r="O84" s="25"/>
      <c r="P84" s="25"/>
      <c r="Q84" s="25"/>
      <c r="R84" s="25"/>
      <c r="S84" s="25"/>
    </row>
    <row r="85" spans="1:19" x14ac:dyDescent="0.2">
      <c r="A85" s="488">
        <v>34</v>
      </c>
      <c r="B85" s="487" t="s">
        <v>1209</v>
      </c>
      <c r="C85" s="501">
        <v>28.5</v>
      </c>
      <c r="D85" s="501">
        <v>18.59</v>
      </c>
      <c r="E85" s="501">
        <v>11.145</v>
      </c>
      <c r="F85" s="501">
        <v>0.87</v>
      </c>
      <c r="G85" s="501">
        <v>0.53500000000000003</v>
      </c>
      <c r="H85" s="25"/>
      <c r="I85" s="25"/>
      <c r="J85" s="25"/>
      <c r="K85" s="25"/>
      <c r="L85" s="25"/>
      <c r="M85" s="25"/>
      <c r="N85" s="25"/>
      <c r="O85" s="25"/>
      <c r="P85" s="25"/>
      <c r="Q85" s="25"/>
      <c r="R85" s="25"/>
      <c r="S85" s="25"/>
    </row>
    <row r="86" spans="1:19" x14ac:dyDescent="0.2">
      <c r="A86" s="488">
        <v>35</v>
      </c>
      <c r="B86" s="487" t="s">
        <v>1210</v>
      </c>
      <c r="C86" s="501">
        <v>25.3</v>
      </c>
      <c r="D86" s="501">
        <v>18.39</v>
      </c>
      <c r="E86" s="501">
        <v>11.09</v>
      </c>
      <c r="F86" s="501">
        <v>0.77</v>
      </c>
      <c r="G86" s="501">
        <v>0.48</v>
      </c>
      <c r="H86" s="25"/>
      <c r="I86" s="25"/>
      <c r="J86" s="25"/>
      <c r="K86" s="25"/>
      <c r="L86" s="25"/>
      <c r="M86" s="25"/>
      <c r="N86" s="25"/>
      <c r="O86" s="25"/>
      <c r="P86" s="25"/>
      <c r="Q86" s="25"/>
      <c r="R86" s="25"/>
      <c r="S86" s="25"/>
    </row>
    <row r="87" spans="1:19" x14ac:dyDescent="0.2">
      <c r="A87" s="488">
        <v>36</v>
      </c>
      <c r="B87" s="487" t="s">
        <v>1211</v>
      </c>
      <c r="C87" s="501">
        <v>22.3</v>
      </c>
      <c r="D87" s="501">
        <v>18.21</v>
      </c>
      <c r="E87" s="501">
        <v>11.035</v>
      </c>
      <c r="F87" s="501">
        <v>0.68</v>
      </c>
      <c r="G87" s="501">
        <v>0.42499999999999999</v>
      </c>
      <c r="H87" s="25"/>
      <c r="I87" s="25"/>
      <c r="J87" s="25"/>
      <c r="K87" s="25"/>
      <c r="L87" s="25"/>
      <c r="M87" s="25"/>
      <c r="N87" s="25"/>
      <c r="O87" s="25"/>
      <c r="P87" s="25"/>
      <c r="Q87" s="25"/>
      <c r="R87" s="25"/>
      <c r="S87" s="25"/>
    </row>
    <row r="88" spans="1:19" x14ac:dyDescent="0.2">
      <c r="A88" s="488">
        <v>37</v>
      </c>
      <c r="B88" s="487" t="s">
        <v>1212</v>
      </c>
      <c r="C88" s="501">
        <v>20.8</v>
      </c>
      <c r="D88" s="501">
        <v>18.47</v>
      </c>
      <c r="E88" s="501">
        <v>7.6349999999999998</v>
      </c>
      <c r="F88" s="501">
        <v>0.81</v>
      </c>
      <c r="G88" s="501">
        <v>0.495</v>
      </c>
      <c r="H88" s="25"/>
      <c r="I88" s="25"/>
      <c r="J88" s="25"/>
      <c r="K88" s="25"/>
      <c r="L88" s="25"/>
      <c r="M88" s="25"/>
      <c r="N88" s="25"/>
      <c r="O88" s="25"/>
      <c r="P88" s="25"/>
      <c r="Q88" s="25"/>
      <c r="R88" s="25"/>
      <c r="S88" s="25"/>
    </row>
    <row r="89" spans="1:19" x14ac:dyDescent="0.2">
      <c r="A89" s="488">
        <v>38</v>
      </c>
      <c r="B89" s="487" t="s">
        <v>1213</v>
      </c>
      <c r="C89" s="501">
        <v>19.100000000000001</v>
      </c>
      <c r="D89" s="501">
        <v>18.350000000000001</v>
      </c>
      <c r="E89" s="501">
        <v>7.59</v>
      </c>
      <c r="F89" s="501">
        <v>0.75</v>
      </c>
      <c r="G89" s="501">
        <v>0.45</v>
      </c>
      <c r="H89" s="25"/>
      <c r="I89" s="25"/>
      <c r="J89" s="25"/>
      <c r="K89" s="25"/>
      <c r="L89" s="25"/>
      <c r="M89" s="25"/>
      <c r="N89" s="25"/>
      <c r="O89" s="25"/>
      <c r="P89" s="25"/>
      <c r="Q89" s="25"/>
      <c r="R89" s="25"/>
      <c r="S89" s="25"/>
    </row>
    <row r="90" spans="1:19" x14ac:dyDescent="0.2">
      <c r="A90" s="488">
        <v>39</v>
      </c>
      <c r="B90" s="487" t="s">
        <v>1214</v>
      </c>
      <c r="C90" s="501">
        <v>17.600000000000001</v>
      </c>
      <c r="D90" s="501">
        <v>18.239999999999998</v>
      </c>
      <c r="E90" s="501">
        <v>7.5549999999999997</v>
      </c>
      <c r="F90" s="501">
        <v>0.69499999999999995</v>
      </c>
      <c r="G90" s="501">
        <v>0.41499999999999998</v>
      </c>
      <c r="H90" s="25"/>
      <c r="I90" s="25"/>
      <c r="J90" s="25"/>
      <c r="K90" s="25"/>
      <c r="L90" s="25"/>
      <c r="M90" s="25"/>
      <c r="N90" s="25"/>
      <c r="O90" s="25"/>
      <c r="P90" s="25"/>
      <c r="Q90" s="25"/>
      <c r="R90" s="25"/>
      <c r="S90" s="25"/>
    </row>
    <row r="91" spans="1:19" x14ac:dyDescent="0.2">
      <c r="A91" s="488">
        <v>40</v>
      </c>
      <c r="B91" s="487" t="s">
        <v>1215</v>
      </c>
      <c r="C91" s="501">
        <v>16.2</v>
      </c>
      <c r="D91" s="501">
        <v>18.11</v>
      </c>
      <c r="E91" s="501">
        <v>7.53</v>
      </c>
      <c r="F91" s="501">
        <v>0.63</v>
      </c>
      <c r="G91" s="501">
        <v>0.39</v>
      </c>
      <c r="H91" s="25"/>
      <c r="I91" s="25"/>
      <c r="J91" s="25"/>
      <c r="K91" s="25"/>
      <c r="L91" s="25"/>
      <c r="M91" s="25"/>
      <c r="N91" s="25"/>
      <c r="O91" s="25"/>
      <c r="P91" s="25"/>
      <c r="Q91" s="25"/>
      <c r="R91" s="25"/>
      <c r="S91" s="25"/>
    </row>
    <row r="92" spans="1:19" x14ac:dyDescent="0.2">
      <c r="A92" s="488">
        <v>41</v>
      </c>
      <c r="B92" s="487" t="s">
        <v>1216</v>
      </c>
      <c r="C92" s="501">
        <v>14.7</v>
      </c>
      <c r="D92" s="501">
        <v>17.989999999999998</v>
      </c>
      <c r="E92" s="501">
        <v>7.4950000000000001</v>
      </c>
      <c r="F92" s="501">
        <v>0.56999999999999995</v>
      </c>
      <c r="G92" s="501">
        <v>0.35499999999999998</v>
      </c>
      <c r="H92" s="25"/>
      <c r="I92" s="25"/>
      <c r="J92" s="25"/>
      <c r="K92" s="25"/>
      <c r="L92" s="25"/>
      <c r="M92" s="25"/>
      <c r="N92" s="25"/>
      <c r="O92" s="25"/>
      <c r="P92" s="25"/>
      <c r="Q92" s="25"/>
      <c r="R92" s="25"/>
      <c r="S92" s="25"/>
    </row>
    <row r="93" spans="1:19" x14ac:dyDescent="0.2">
      <c r="A93" s="488">
        <v>42</v>
      </c>
      <c r="B93" s="487" t="s">
        <v>1217</v>
      </c>
      <c r="C93" s="501">
        <v>13.5</v>
      </c>
      <c r="D93" s="501">
        <v>18.059999999999999</v>
      </c>
      <c r="E93" s="501">
        <v>6.06</v>
      </c>
      <c r="F93" s="501">
        <v>0.60499999999999998</v>
      </c>
      <c r="G93" s="501">
        <v>0.36</v>
      </c>
      <c r="H93" s="25"/>
      <c r="I93" s="25"/>
      <c r="J93" s="25"/>
      <c r="K93" s="25"/>
      <c r="L93" s="25"/>
      <c r="M93" s="25"/>
      <c r="N93" s="25"/>
      <c r="O93" s="25"/>
      <c r="P93" s="25"/>
      <c r="Q93" s="25"/>
      <c r="R93" s="25"/>
      <c r="S93" s="25"/>
    </row>
    <row r="94" spans="1:19" x14ac:dyDescent="0.2">
      <c r="A94" s="488">
        <v>43</v>
      </c>
      <c r="B94" s="487" t="s">
        <v>1218</v>
      </c>
      <c r="C94" s="501">
        <v>11.8</v>
      </c>
      <c r="D94" s="501">
        <v>17.899999999999999</v>
      </c>
      <c r="E94" s="501">
        <v>6.0149999999999997</v>
      </c>
      <c r="F94" s="501">
        <v>0.52500000000000002</v>
      </c>
      <c r="G94" s="501">
        <v>0.315</v>
      </c>
      <c r="H94" s="25"/>
      <c r="I94" s="25"/>
      <c r="J94" s="25"/>
      <c r="K94" s="25"/>
      <c r="L94" s="25"/>
      <c r="M94" s="25"/>
      <c r="N94" s="25"/>
      <c r="O94" s="25"/>
      <c r="P94" s="25"/>
      <c r="Q94" s="25"/>
      <c r="R94" s="25"/>
      <c r="S94" s="25"/>
    </row>
    <row r="95" spans="1:19" x14ac:dyDescent="0.2">
      <c r="A95" s="488">
        <v>44</v>
      </c>
      <c r="B95" s="487" t="s">
        <v>1219</v>
      </c>
      <c r="C95" s="501">
        <v>10.3</v>
      </c>
      <c r="D95" s="501">
        <v>17.7</v>
      </c>
      <c r="E95" s="501">
        <v>6</v>
      </c>
      <c r="F95" s="501">
        <v>0.42499999999999999</v>
      </c>
      <c r="G95" s="501">
        <v>0.3</v>
      </c>
      <c r="H95" s="25"/>
      <c r="I95" s="25"/>
      <c r="J95" s="25"/>
      <c r="K95" s="25"/>
      <c r="L95" s="25"/>
      <c r="M95" s="25"/>
      <c r="N95" s="25"/>
      <c r="O95" s="25"/>
      <c r="P95" s="25"/>
      <c r="Q95" s="25"/>
      <c r="R95" s="25"/>
      <c r="S95" s="25"/>
    </row>
    <row r="96" spans="1:19" x14ac:dyDescent="0.2">
      <c r="A96" s="488">
        <v>45</v>
      </c>
      <c r="B96" s="487" t="s">
        <v>1220</v>
      </c>
      <c r="C96" s="501">
        <v>29.4</v>
      </c>
      <c r="D96" s="501">
        <v>16.97</v>
      </c>
      <c r="E96" s="501">
        <v>10.425000000000001</v>
      </c>
      <c r="F96" s="501">
        <v>0.98499999999999999</v>
      </c>
      <c r="G96" s="501">
        <v>0.58499999999999996</v>
      </c>
      <c r="H96" s="25"/>
      <c r="I96" s="25"/>
      <c r="J96" s="25"/>
      <c r="K96" s="25"/>
      <c r="L96" s="25"/>
      <c r="M96" s="25"/>
      <c r="N96" s="25"/>
      <c r="O96" s="25"/>
      <c r="P96" s="25"/>
      <c r="Q96" s="25"/>
      <c r="R96" s="25"/>
      <c r="S96" s="25"/>
    </row>
    <row r="97" spans="1:19" x14ac:dyDescent="0.2">
      <c r="A97" s="488">
        <v>46</v>
      </c>
      <c r="B97" s="487" t="s">
        <v>1221</v>
      </c>
      <c r="C97" s="501">
        <v>26.2</v>
      </c>
      <c r="D97" s="501">
        <v>16.75</v>
      </c>
      <c r="E97" s="501">
        <v>10.365</v>
      </c>
      <c r="F97" s="501">
        <v>0.875</v>
      </c>
      <c r="G97" s="501">
        <v>0.52500000000000002</v>
      </c>
      <c r="H97" s="25"/>
      <c r="I97" s="25"/>
      <c r="J97" s="25"/>
      <c r="K97" s="25"/>
      <c r="L97" s="25"/>
      <c r="M97" s="25"/>
      <c r="N97" s="25"/>
      <c r="O97" s="25"/>
      <c r="P97" s="25"/>
      <c r="Q97" s="25"/>
      <c r="R97" s="25"/>
      <c r="S97" s="25"/>
    </row>
    <row r="98" spans="1:19" x14ac:dyDescent="0.2">
      <c r="A98" s="488">
        <v>47</v>
      </c>
      <c r="B98" s="487" t="s">
        <v>1222</v>
      </c>
      <c r="C98" s="501">
        <v>22.6</v>
      </c>
      <c r="D98" s="501">
        <v>16.52</v>
      </c>
      <c r="E98" s="501">
        <v>10.295</v>
      </c>
      <c r="F98" s="501">
        <v>0.76</v>
      </c>
      <c r="G98" s="501">
        <v>0.45500000000000002</v>
      </c>
      <c r="H98" s="25"/>
      <c r="I98" s="25"/>
      <c r="J98" s="25"/>
      <c r="K98" s="25"/>
      <c r="L98" s="25"/>
      <c r="M98" s="25"/>
      <c r="N98" s="25"/>
      <c r="O98" s="25"/>
      <c r="P98" s="25"/>
      <c r="Q98" s="25"/>
      <c r="R98" s="25"/>
      <c r="S98" s="25"/>
    </row>
    <row r="99" spans="1:19" x14ac:dyDescent="0.2">
      <c r="A99" s="488">
        <v>48</v>
      </c>
      <c r="B99" s="487" t="s">
        <v>1223</v>
      </c>
      <c r="C99" s="501">
        <v>19.7</v>
      </c>
      <c r="D99" s="501">
        <v>16.329999999999998</v>
      </c>
      <c r="E99" s="501">
        <v>10.234999999999999</v>
      </c>
      <c r="F99" s="501">
        <v>0.66500000000000004</v>
      </c>
      <c r="G99" s="501">
        <v>0.39500000000000002</v>
      </c>
      <c r="H99" s="25"/>
      <c r="I99" s="25"/>
      <c r="J99" s="25"/>
      <c r="K99" s="25"/>
      <c r="L99" s="25"/>
      <c r="M99" s="25"/>
      <c r="N99" s="25"/>
      <c r="O99" s="25"/>
      <c r="P99" s="25"/>
      <c r="Q99" s="25"/>
      <c r="R99" s="25"/>
      <c r="S99" s="25"/>
    </row>
    <row r="100" spans="1:19" x14ac:dyDescent="0.2">
      <c r="A100" s="488">
        <v>49</v>
      </c>
      <c r="B100" s="487" t="s">
        <v>1224</v>
      </c>
      <c r="C100" s="501">
        <v>16.8</v>
      </c>
      <c r="D100" s="501">
        <v>16.43</v>
      </c>
      <c r="E100" s="501">
        <v>7.12</v>
      </c>
      <c r="F100" s="501">
        <v>0.71499999999999997</v>
      </c>
      <c r="G100" s="501">
        <v>0.43</v>
      </c>
      <c r="H100" s="25"/>
      <c r="I100" s="25"/>
      <c r="J100" s="25"/>
      <c r="K100" s="25"/>
      <c r="L100" s="25"/>
      <c r="M100" s="25"/>
      <c r="N100" s="25"/>
      <c r="O100" s="25"/>
      <c r="P100" s="25"/>
      <c r="Q100" s="25"/>
      <c r="R100" s="25"/>
      <c r="S100" s="25"/>
    </row>
    <row r="101" spans="1:19" x14ac:dyDescent="0.2">
      <c r="A101" s="488">
        <v>50</v>
      </c>
      <c r="B101" s="487" t="s">
        <v>1225</v>
      </c>
      <c r="C101" s="501">
        <v>14.7</v>
      </c>
      <c r="D101" s="501">
        <v>16.260000000000002</v>
      </c>
      <c r="E101" s="501">
        <v>7.07</v>
      </c>
      <c r="F101" s="501">
        <v>0.63</v>
      </c>
      <c r="G101" s="501">
        <v>0.38</v>
      </c>
      <c r="H101" s="25"/>
      <c r="I101" s="25"/>
      <c r="J101" s="25"/>
      <c r="K101" s="25"/>
      <c r="L101" s="25"/>
      <c r="M101" s="25"/>
      <c r="N101" s="25"/>
      <c r="O101" s="25"/>
      <c r="P101" s="25"/>
      <c r="Q101" s="25"/>
      <c r="R101" s="25"/>
      <c r="S101" s="25"/>
    </row>
    <row r="102" spans="1:19" x14ac:dyDescent="0.2">
      <c r="A102" s="488">
        <v>51</v>
      </c>
      <c r="B102" s="487" t="s">
        <v>1226</v>
      </c>
      <c r="C102" s="501">
        <v>13.3</v>
      </c>
      <c r="D102" s="501">
        <v>16.13</v>
      </c>
      <c r="E102" s="501">
        <v>7.0350000000000001</v>
      </c>
      <c r="F102" s="501">
        <v>0.56499999999999995</v>
      </c>
      <c r="G102" s="501">
        <v>0.34499999999999997</v>
      </c>
      <c r="H102" s="25"/>
      <c r="I102" s="25"/>
      <c r="J102" s="25"/>
      <c r="K102" s="25"/>
      <c r="L102" s="25"/>
      <c r="M102" s="25"/>
      <c r="N102" s="25"/>
      <c r="O102" s="25"/>
      <c r="P102" s="25"/>
      <c r="Q102" s="25"/>
      <c r="R102" s="25"/>
      <c r="S102" s="25"/>
    </row>
    <row r="103" spans="1:19" x14ac:dyDescent="0.2">
      <c r="A103" s="488">
        <v>52</v>
      </c>
      <c r="B103" s="487" t="s">
        <v>1227</v>
      </c>
      <c r="C103" s="501">
        <v>11.8</v>
      </c>
      <c r="D103" s="501">
        <v>16.010000000000002</v>
      </c>
      <c r="E103" s="501">
        <v>6.9950000000000001</v>
      </c>
      <c r="F103" s="501">
        <v>0.505</v>
      </c>
      <c r="G103" s="501">
        <v>0.30499999999999999</v>
      </c>
      <c r="H103" s="25"/>
      <c r="I103" s="25"/>
      <c r="J103" s="25"/>
      <c r="K103" s="25"/>
      <c r="L103" s="25"/>
      <c r="M103" s="25"/>
      <c r="N103" s="25"/>
      <c r="O103" s="25"/>
      <c r="P103" s="25"/>
      <c r="Q103" s="25"/>
      <c r="R103" s="25"/>
      <c r="S103" s="25"/>
    </row>
    <row r="104" spans="1:19" x14ac:dyDescent="0.2">
      <c r="A104" s="488">
        <v>53</v>
      </c>
      <c r="B104" s="487" t="s">
        <v>1228</v>
      </c>
      <c r="C104" s="501">
        <v>10.6</v>
      </c>
      <c r="D104" s="501">
        <v>15.86</v>
      </c>
      <c r="E104" s="501">
        <v>6.9850000000000003</v>
      </c>
      <c r="F104" s="501">
        <v>0.43</v>
      </c>
      <c r="G104" s="501">
        <v>0.29499999999999998</v>
      </c>
      <c r="H104" s="25"/>
      <c r="I104" s="25"/>
      <c r="J104" s="25"/>
      <c r="K104" s="25"/>
      <c r="L104" s="25"/>
      <c r="M104" s="25"/>
      <c r="N104" s="25"/>
      <c r="O104" s="25"/>
      <c r="P104" s="25"/>
      <c r="Q104" s="25"/>
      <c r="R104" s="25"/>
      <c r="S104" s="25"/>
    </row>
    <row r="105" spans="1:19" x14ac:dyDescent="0.2">
      <c r="A105" s="488">
        <v>54</v>
      </c>
      <c r="B105" s="487" t="s">
        <v>1229</v>
      </c>
      <c r="C105" s="501">
        <v>9.1199999999999992</v>
      </c>
      <c r="D105" s="501">
        <v>15.88</v>
      </c>
      <c r="E105" s="501">
        <v>5.5250000000000004</v>
      </c>
      <c r="F105" s="501">
        <v>0.44</v>
      </c>
      <c r="G105" s="501">
        <v>0.27500000000000002</v>
      </c>
      <c r="H105" s="25"/>
      <c r="I105" s="25"/>
      <c r="J105" s="25"/>
      <c r="K105" s="25"/>
      <c r="L105" s="25"/>
      <c r="M105" s="25"/>
      <c r="N105" s="25"/>
      <c r="O105" s="25"/>
      <c r="P105" s="25"/>
      <c r="Q105" s="25"/>
      <c r="R105" s="25"/>
      <c r="S105" s="25"/>
    </row>
    <row r="106" spans="1:19" x14ac:dyDescent="0.2">
      <c r="A106" s="488">
        <v>55</v>
      </c>
      <c r="B106" s="487" t="s">
        <v>1230</v>
      </c>
      <c r="C106" s="501">
        <v>7.68</v>
      </c>
      <c r="D106" s="501">
        <v>15.69</v>
      </c>
      <c r="E106" s="501">
        <v>5.5</v>
      </c>
      <c r="F106" s="501">
        <v>0.34499999999999997</v>
      </c>
      <c r="G106" s="501">
        <v>0.25</v>
      </c>
      <c r="H106" s="25"/>
      <c r="I106" s="25"/>
      <c r="J106" s="25"/>
      <c r="K106" s="25"/>
      <c r="L106" s="25"/>
      <c r="M106" s="25"/>
      <c r="N106" s="25"/>
      <c r="O106" s="25"/>
      <c r="P106" s="25"/>
      <c r="Q106" s="25"/>
      <c r="R106" s="25"/>
      <c r="S106" s="25"/>
    </row>
    <row r="107" spans="1:19" x14ac:dyDescent="0.2">
      <c r="A107" s="488">
        <v>56</v>
      </c>
      <c r="B107" s="487" t="s">
        <v>1231</v>
      </c>
      <c r="C107" s="501">
        <v>215</v>
      </c>
      <c r="D107" s="501">
        <v>22.42</v>
      </c>
      <c r="E107" s="501">
        <v>17.89</v>
      </c>
      <c r="F107" s="501">
        <v>4.91</v>
      </c>
      <c r="G107" s="501">
        <v>3.07</v>
      </c>
      <c r="H107" s="25"/>
      <c r="I107" s="25"/>
      <c r="J107" s="25"/>
      <c r="K107" s="25"/>
      <c r="L107" s="25"/>
      <c r="M107" s="25"/>
      <c r="N107" s="25"/>
      <c r="O107" s="25"/>
      <c r="P107" s="25"/>
      <c r="Q107" s="25"/>
      <c r="R107" s="25"/>
      <c r="S107" s="25"/>
    </row>
    <row r="108" spans="1:19" x14ac:dyDescent="0.2">
      <c r="A108" s="488">
        <v>57</v>
      </c>
      <c r="B108" s="487" t="s">
        <v>1232</v>
      </c>
      <c r="C108" s="501">
        <v>196</v>
      </c>
      <c r="D108" s="501">
        <v>21.64</v>
      </c>
      <c r="E108" s="501">
        <v>17.649999999999999</v>
      </c>
      <c r="F108" s="501">
        <v>4.5199999999999996</v>
      </c>
      <c r="G108" s="501">
        <v>2.83</v>
      </c>
      <c r="H108" s="25"/>
      <c r="I108" s="25"/>
      <c r="J108" s="25"/>
      <c r="K108" s="25"/>
      <c r="L108" s="25"/>
      <c r="M108" s="25"/>
      <c r="N108" s="25"/>
      <c r="O108" s="25"/>
      <c r="P108" s="25"/>
      <c r="Q108" s="25"/>
      <c r="R108" s="25"/>
      <c r="S108" s="25"/>
    </row>
    <row r="109" spans="1:19" x14ac:dyDescent="0.2">
      <c r="A109" s="488">
        <v>58</v>
      </c>
      <c r="B109" s="487" t="s">
        <v>1233</v>
      </c>
      <c r="C109" s="501">
        <v>178</v>
      </c>
      <c r="D109" s="501">
        <v>20.92</v>
      </c>
      <c r="E109" s="501">
        <v>17.414999999999999</v>
      </c>
      <c r="F109" s="501">
        <v>4.16</v>
      </c>
      <c r="G109" s="501">
        <v>2.5950000000000002</v>
      </c>
      <c r="H109" s="25"/>
      <c r="I109" s="25"/>
      <c r="J109" s="25"/>
      <c r="K109" s="25"/>
      <c r="L109" s="25"/>
      <c r="M109" s="25"/>
      <c r="N109" s="25"/>
      <c r="O109" s="25"/>
      <c r="P109" s="25"/>
      <c r="Q109" s="25"/>
      <c r="R109" s="25"/>
      <c r="S109" s="25"/>
    </row>
    <row r="110" spans="1:19" x14ac:dyDescent="0.2">
      <c r="A110" s="488">
        <v>59</v>
      </c>
      <c r="B110" s="487" t="s">
        <v>1234</v>
      </c>
      <c r="C110" s="501">
        <v>162</v>
      </c>
      <c r="D110" s="501">
        <v>20.239999999999998</v>
      </c>
      <c r="E110" s="501">
        <v>17.2</v>
      </c>
      <c r="F110" s="501">
        <v>3.82</v>
      </c>
      <c r="G110" s="501">
        <v>2.38</v>
      </c>
      <c r="H110" s="25"/>
      <c r="I110" s="25"/>
      <c r="J110" s="25"/>
      <c r="K110" s="25"/>
      <c r="L110" s="25"/>
      <c r="M110" s="25"/>
      <c r="N110" s="25"/>
      <c r="O110" s="25"/>
      <c r="P110" s="25"/>
      <c r="Q110" s="25"/>
      <c r="R110" s="25"/>
      <c r="S110" s="25"/>
    </row>
    <row r="111" spans="1:19" x14ac:dyDescent="0.2">
      <c r="A111" s="488">
        <v>60</v>
      </c>
      <c r="B111" s="487" t="s">
        <v>1235</v>
      </c>
      <c r="C111" s="501">
        <v>147</v>
      </c>
      <c r="D111" s="501">
        <v>19.600000000000001</v>
      </c>
      <c r="E111" s="501">
        <v>17.010000000000002</v>
      </c>
      <c r="F111" s="501">
        <v>3.5</v>
      </c>
      <c r="G111" s="501">
        <v>2.19</v>
      </c>
      <c r="H111" s="25"/>
      <c r="I111" s="25"/>
      <c r="J111" s="25"/>
      <c r="K111" s="25"/>
      <c r="L111" s="25"/>
      <c r="M111" s="25"/>
      <c r="N111" s="25"/>
      <c r="O111" s="25"/>
      <c r="P111" s="25"/>
      <c r="Q111" s="25"/>
      <c r="R111" s="25"/>
      <c r="S111" s="25"/>
    </row>
    <row r="112" spans="1:19" x14ac:dyDescent="0.2">
      <c r="A112" s="488">
        <v>61</v>
      </c>
      <c r="B112" s="487" t="s">
        <v>1236</v>
      </c>
      <c r="C112" s="501">
        <v>134</v>
      </c>
      <c r="D112" s="501">
        <v>19.02</v>
      </c>
      <c r="E112" s="501">
        <v>16.835000000000001</v>
      </c>
      <c r="F112" s="501">
        <v>3.21</v>
      </c>
      <c r="G112" s="501">
        <v>2.0150000000000001</v>
      </c>
      <c r="H112" s="25"/>
      <c r="I112" s="25"/>
      <c r="J112" s="25"/>
      <c r="K112" s="25"/>
      <c r="L112" s="25"/>
      <c r="M112" s="25"/>
      <c r="N112" s="25"/>
      <c r="O112" s="25"/>
      <c r="P112" s="25"/>
      <c r="Q112" s="25"/>
      <c r="R112" s="25"/>
      <c r="S112" s="25"/>
    </row>
    <row r="113" spans="1:19" x14ac:dyDescent="0.2">
      <c r="A113" s="488">
        <v>62</v>
      </c>
      <c r="B113" s="487" t="s">
        <v>1237</v>
      </c>
      <c r="C113" s="501">
        <v>125</v>
      </c>
      <c r="D113" s="501">
        <v>18.670000000000002</v>
      </c>
      <c r="E113" s="501">
        <v>16.695</v>
      </c>
      <c r="F113" s="501">
        <v>3.0350000000000001</v>
      </c>
      <c r="G113" s="501">
        <v>1.875</v>
      </c>
      <c r="H113" s="25"/>
      <c r="I113" s="25"/>
      <c r="J113" s="25"/>
      <c r="K113" s="25"/>
      <c r="L113" s="25"/>
      <c r="M113" s="25"/>
      <c r="N113" s="25"/>
      <c r="O113" s="25"/>
      <c r="P113" s="25"/>
      <c r="Q113" s="25"/>
      <c r="R113" s="25"/>
      <c r="S113" s="25"/>
    </row>
    <row r="114" spans="1:19" x14ac:dyDescent="0.2">
      <c r="A114" s="488">
        <v>63</v>
      </c>
      <c r="B114" s="487" t="s">
        <v>1238</v>
      </c>
      <c r="C114" s="501">
        <v>117</v>
      </c>
      <c r="D114" s="501">
        <v>18.29</v>
      </c>
      <c r="E114" s="501">
        <v>16.59</v>
      </c>
      <c r="F114" s="501">
        <v>2.8450000000000002</v>
      </c>
      <c r="G114" s="501">
        <v>1.77</v>
      </c>
      <c r="H114" s="25"/>
      <c r="I114" s="25"/>
      <c r="J114" s="25"/>
      <c r="K114" s="25"/>
      <c r="L114" s="25"/>
      <c r="M114" s="25"/>
      <c r="N114" s="25"/>
      <c r="O114" s="25"/>
      <c r="P114" s="25"/>
      <c r="Q114" s="25"/>
      <c r="R114" s="25"/>
      <c r="S114" s="25"/>
    </row>
    <row r="115" spans="1:19" x14ac:dyDescent="0.2">
      <c r="A115" s="488">
        <v>64</v>
      </c>
      <c r="B115" s="487" t="s">
        <v>1239</v>
      </c>
      <c r="C115" s="501">
        <v>109</v>
      </c>
      <c r="D115" s="501">
        <v>17.920000000000002</v>
      </c>
      <c r="E115" s="501">
        <v>16.475000000000001</v>
      </c>
      <c r="F115" s="501">
        <v>2.66</v>
      </c>
      <c r="G115" s="501">
        <v>1.655</v>
      </c>
      <c r="H115" s="25"/>
      <c r="I115" s="25"/>
      <c r="J115" s="25"/>
      <c r="K115" s="25"/>
      <c r="L115" s="25"/>
      <c r="M115" s="25"/>
      <c r="N115" s="25"/>
      <c r="O115" s="25"/>
      <c r="P115" s="25"/>
      <c r="Q115" s="25"/>
      <c r="R115" s="25"/>
      <c r="S115" s="25"/>
    </row>
    <row r="116" spans="1:19" x14ac:dyDescent="0.2">
      <c r="A116" s="488">
        <v>65</v>
      </c>
      <c r="B116" s="487" t="s">
        <v>1240</v>
      </c>
      <c r="C116" s="501">
        <v>101</v>
      </c>
      <c r="D116" s="501">
        <v>17.54</v>
      </c>
      <c r="E116" s="501">
        <v>16.36</v>
      </c>
      <c r="F116" s="501">
        <v>2.4700000000000002</v>
      </c>
      <c r="G116" s="501">
        <v>1.54</v>
      </c>
      <c r="H116" s="25"/>
      <c r="I116" s="25"/>
      <c r="J116" s="25"/>
      <c r="K116" s="25"/>
      <c r="L116" s="25"/>
      <c r="M116" s="25"/>
      <c r="N116" s="25"/>
      <c r="O116" s="25"/>
      <c r="P116" s="25"/>
      <c r="Q116" s="25"/>
      <c r="R116" s="25"/>
      <c r="S116" s="25"/>
    </row>
    <row r="117" spans="1:19" x14ac:dyDescent="0.2">
      <c r="A117" s="488">
        <v>66</v>
      </c>
      <c r="B117" s="487" t="s">
        <v>1241</v>
      </c>
      <c r="C117" s="501">
        <v>91.4</v>
      </c>
      <c r="D117" s="501">
        <v>17.12</v>
      </c>
      <c r="E117" s="501">
        <v>16.23</v>
      </c>
      <c r="F117" s="501">
        <v>2.2599999999999998</v>
      </c>
      <c r="G117" s="501">
        <v>1.41</v>
      </c>
      <c r="H117" s="25"/>
      <c r="I117" s="25"/>
      <c r="J117" s="25"/>
      <c r="K117" s="25"/>
      <c r="L117" s="25"/>
      <c r="M117" s="25"/>
      <c r="N117" s="25"/>
      <c r="O117" s="25"/>
      <c r="P117" s="25"/>
      <c r="Q117" s="25"/>
      <c r="R117" s="25"/>
      <c r="S117" s="25"/>
    </row>
    <row r="118" spans="1:19" x14ac:dyDescent="0.2">
      <c r="A118" s="488">
        <v>67</v>
      </c>
      <c r="B118" s="487" t="s">
        <v>1242</v>
      </c>
      <c r="C118" s="501">
        <v>83.3</v>
      </c>
      <c r="D118" s="501">
        <v>16.739999999999998</v>
      </c>
      <c r="E118" s="501">
        <v>16.11</v>
      </c>
      <c r="F118" s="501">
        <v>2.0699999999999998</v>
      </c>
      <c r="G118" s="501">
        <v>1.29</v>
      </c>
      <c r="H118" s="25"/>
      <c r="I118" s="25"/>
      <c r="J118" s="25"/>
      <c r="K118" s="25"/>
      <c r="L118" s="25"/>
      <c r="M118" s="25"/>
      <c r="N118" s="25"/>
      <c r="O118" s="25"/>
      <c r="P118" s="25"/>
      <c r="Q118" s="25"/>
      <c r="R118" s="25"/>
      <c r="S118" s="25"/>
    </row>
    <row r="119" spans="1:19" x14ac:dyDescent="0.2">
      <c r="A119" s="488">
        <v>68</v>
      </c>
      <c r="B119" s="487" t="s">
        <v>1243</v>
      </c>
      <c r="C119" s="501">
        <v>75.599999999999994</v>
      </c>
      <c r="D119" s="501">
        <v>16.38</v>
      </c>
      <c r="E119" s="501">
        <v>15.994999999999999</v>
      </c>
      <c r="F119" s="501">
        <v>1.89</v>
      </c>
      <c r="G119" s="501">
        <v>1.175</v>
      </c>
      <c r="H119" s="25"/>
      <c r="I119" s="25"/>
      <c r="J119" s="25"/>
      <c r="K119" s="25"/>
      <c r="L119" s="25"/>
      <c r="M119" s="25"/>
      <c r="N119" s="25"/>
      <c r="O119" s="25"/>
      <c r="P119" s="25"/>
      <c r="Q119" s="25"/>
      <c r="R119" s="25"/>
      <c r="S119" s="25"/>
    </row>
    <row r="120" spans="1:19" x14ac:dyDescent="0.2">
      <c r="A120" s="488">
        <v>69</v>
      </c>
      <c r="B120" s="487" t="s">
        <v>1244</v>
      </c>
      <c r="C120" s="501">
        <v>68.5</v>
      </c>
      <c r="D120" s="501">
        <v>16.04</v>
      </c>
      <c r="E120" s="501">
        <v>15.89</v>
      </c>
      <c r="F120" s="501">
        <v>1.72</v>
      </c>
      <c r="G120" s="501">
        <v>1.07</v>
      </c>
      <c r="H120" s="25"/>
      <c r="I120" s="25"/>
      <c r="J120" s="25"/>
      <c r="K120" s="25"/>
      <c r="L120" s="25"/>
      <c r="M120" s="25"/>
      <c r="N120" s="25"/>
      <c r="O120" s="25"/>
      <c r="P120" s="25"/>
      <c r="Q120" s="25"/>
      <c r="R120" s="25"/>
      <c r="S120" s="25"/>
    </row>
    <row r="121" spans="1:19" x14ac:dyDescent="0.2">
      <c r="A121" s="488">
        <v>70</v>
      </c>
      <c r="B121" s="487" t="s">
        <v>1245</v>
      </c>
      <c r="C121" s="501">
        <v>62</v>
      </c>
      <c r="D121" s="501">
        <v>15.72</v>
      </c>
      <c r="E121" s="501">
        <v>15.8</v>
      </c>
      <c r="F121" s="501">
        <v>1.56</v>
      </c>
      <c r="G121" s="501">
        <v>0.98</v>
      </c>
      <c r="H121" s="25"/>
      <c r="I121" s="25"/>
      <c r="J121" s="25"/>
      <c r="K121" s="25"/>
      <c r="L121" s="25"/>
      <c r="M121" s="25"/>
      <c r="N121" s="25"/>
      <c r="O121" s="25"/>
      <c r="P121" s="25"/>
      <c r="Q121" s="25"/>
      <c r="R121" s="25"/>
      <c r="S121" s="25"/>
    </row>
    <row r="122" spans="1:19" x14ac:dyDescent="0.2">
      <c r="A122" s="488">
        <v>71</v>
      </c>
      <c r="B122" s="487" t="s">
        <v>1246</v>
      </c>
      <c r="C122" s="501">
        <v>56.8</v>
      </c>
      <c r="D122" s="501">
        <v>15.48</v>
      </c>
      <c r="E122" s="501">
        <v>15.71</v>
      </c>
      <c r="F122" s="501">
        <v>1.44</v>
      </c>
      <c r="G122" s="501">
        <v>0.89</v>
      </c>
      <c r="H122" s="25"/>
      <c r="I122" s="25"/>
      <c r="J122" s="25"/>
      <c r="K122" s="25"/>
      <c r="L122" s="25"/>
      <c r="M122" s="25"/>
      <c r="N122" s="25"/>
      <c r="O122" s="25"/>
      <c r="P122" s="25"/>
      <c r="Q122" s="25"/>
      <c r="R122" s="25"/>
      <c r="S122" s="25"/>
    </row>
    <row r="123" spans="1:19" x14ac:dyDescent="0.2">
      <c r="A123" s="488">
        <v>72</v>
      </c>
      <c r="B123" s="487" t="s">
        <v>1247</v>
      </c>
      <c r="C123" s="501">
        <v>51.8</v>
      </c>
      <c r="D123" s="501">
        <v>15.22</v>
      </c>
      <c r="E123" s="501">
        <v>15.65</v>
      </c>
      <c r="F123" s="501">
        <v>1.31</v>
      </c>
      <c r="G123" s="501">
        <v>0.83</v>
      </c>
      <c r="H123" s="25"/>
      <c r="I123" s="25"/>
      <c r="J123" s="25"/>
      <c r="K123" s="25"/>
      <c r="L123" s="25"/>
      <c r="M123" s="25"/>
      <c r="N123" s="25"/>
      <c r="O123" s="25"/>
      <c r="P123" s="25"/>
      <c r="Q123" s="25"/>
      <c r="R123" s="25"/>
      <c r="S123" s="25"/>
    </row>
    <row r="124" spans="1:19" x14ac:dyDescent="0.2">
      <c r="A124" s="488">
        <v>73</v>
      </c>
      <c r="B124" s="487" t="s">
        <v>1248</v>
      </c>
      <c r="C124" s="501">
        <v>46.7</v>
      </c>
      <c r="D124" s="501">
        <v>14.98</v>
      </c>
      <c r="E124" s="501">
        <v>15.565</v>
      </c>
      <c r="F124" s="501">
        <v>1.19</v>
      </c>
      <c r="G124" s="501">
        <v>0.745</v>
      </c>
      <c r="H124" s="25"/>
      <c r="I124" s="25"/>
      <c r="J124" s="25"/>
      <c r="K124" s="25"/>
      <c r="L124" s="25"/>
      <c r="M124" s="25"/>
      <c r="N124" s="25"/>
      <c r="O124" s="25"/>
      <c r="P124" s="25"/>
      <c r="Q124" s="25"/>
      <c r="R124" s="25"/>
      <c r="S124" s="25"/>
    </row>
    <row r="125" spans="1:19" x14ac:dyDescent="0.2">
      <c r="A125" s="488">
        <v>74</v>
      </c>
      <c r="B125" s="487" t="s">
        <v>1249</v>
      </c>
      <c r="C125" s="501">
        <v>42.7</v>
      </c>
      <c r="D125" s="501">
        <v>14.78</v>
      </c>
      <c r="E125" s="501">
        <v>15.5</v>
      </c>
      <c r="F125" s="501">
        <v>1.0900000000000001</v>
      </c>
      <c r="G125" s="501">
        <v>0.68</v>
      </c>
      <c r="H125" s="25"/>
      <c r="I125" s="25"/>
      <c r="J125" s="25"/>
      <c r="K125" s="25"/>
      <c r="L125" s="25"/>
      <c r="M125" s="25"/>
      <c r="N125" s="25"/>
      <c r="O125" s="25"/>
      <c r="P125" s="25"/>
      <c r="Q125" s="25"/>
      <c r="R125" s="25"/>
      <c r="S125" s="25"/>
    </row>
    <row r="126" spans="1:19" x14ac:dyDescent="0.2">
      <c r="A126" s="488">
        <v>75</v>
      </c>
      <c r="B126" s="487" t="s">
        <v>1250</v>
      </c>
      <c r="C126" s="501">
        <v>38.799999999999997</v>
      </c>
      <c r="D126" s="501">
        <v>14.66</v>
      </c>
      <c r="E126" s="501">
        <v>14.725</v>
      </c>
      <c r="F126" s="501">
        <v>1.03</v>
      </c>
      <c r="G126" s="501">
        <v>0.64500000000000002</v>
      </c>
      <c r="H126" s="25"/>
      <c r="I126" s="25"/>
      <c r="J126" s="25"/>
      <c r="K126" s="25"/>
      <c r="L126" s="25"/>
      <c r="M126" s="25"/>
      <c r="N126" s="25"/>
      <c r="O126" s="25"/>
      <c r="P126" s="25"/>
      <c r="Q126" s="25"/>
      <c r="R126" s="25"/>
      <c r="S126" s="25"/>
    </row>
    <row r="127" spans="1:19" x14ac:dyDescent="0.2">
      <c r="A127" s="488">
        <v>76</v>
      </c>
      <c r="B127" s="487" t="s">
        <v>1251</v>
      </c>
      <c r="C127" s="501">
        <v>35.299999999999997</v>
      </c>
      <c r="D127" s="501">
        <v>14.48</v>
      </c>
      <c r="E127" s="501">
        <v>14.67</v>
      </c>
      <c r="F127" s="501">
        <v>0.94</v>
      </c>
      <c r="G127" s="501">
        <v>0.59</v>
      </c>
      <c r="H127" s="25"/>
      <c r="I127" s="25"/>
      <c r="J127" s="25"/>
      <c r="K127" s="25"/>
      <c r="L127" s="25"/>
      <c r="M127" s="25"/>
      <c r="N127" s="25"/>
      <c r="O127" s="25"/>
      <c r="P127" s="25"/>
      <c r="Q127" s="25"/>
      <c r="R127" s="25"/>
      <c r="S127" s="25"/>
    </row>
    <row r="128" spans="1:19" x14ac:dyDescent="0.2">
      <c r="A128" s="488">
        <v>77</v>
      </c>
      <c r="B128" s="487" t="s">
        <v>1252</v>
      </c>
      <c r="C128" s="501">
        <v>32</v>
      </c>
      <c r="D128" s="501">
        <v>14.32</v>
      </c>
      <c r="E128" s="501">
        <v>14.605</v>
      </c>
      <c r="F128" s="501">
        <v>0.86</v>
      </c>
      <c r="G128" s="501">
        <v>0.52500000000000002</v>
      </c>
      <c r="H128" s="25"/>
      <c r="I128" s="25"/>
      <c r="J128" s="25"/>
      <c r="K128" s="25"/>
      <c r="L128" s="25"/>
      <c r="M128" s="25"/>
      <c r="N128" s="25"/>
      <c r="O128" s="25"/>
      <c r="P128" s="25"/>
      <c r="Q128" s="25"/>
      <c r="R128" s="25"/>
      <c r="S128" s="25"/>
    </row>
    <row r="129" spans="1:19" x14ac:dyDescent="0.2">
      <c r="A129" s="488">
        <v>78</v>
      </c>
      <c r="B129" s="487" t="s">
        <v>1253</v>
      </c>
      <c r="C129" s="501">
        <v>29.1</v>
      </c>
      <c r="D129" s="501">
        <v>14.16</v>
      </c>
      <c r="E129" s="501">
        <v>14.565</v>
      </c>
      <c r="F129" s="501">
        <v>0.78</v>
      </c>
      <c r="G129" s="501">
        <v>0.48499999999999999</v>
      </c>
      <c r="H129" s="25"/>
      <c r="I129" s="25"/>
      <c r="J129" s="25"/>
      <c r="K129" s="25"/>
      <c r="L129" s="25"/>
      <c r="M129" s="25"/>
      <c r="N129" s="25"/>
      <c r="O129" s="25"/>
      <c r="P129" s="25"/>
      <c r="Q129" s="25"/>
      <c r="R129" s="25"/>
      <c r="S129" s="25"/>
    </row>
    <row r="130" spans="1:19" x14ac:dyDescent="0.2">
      <c r="A130" s="488">
        <v>79</v>
      </c>
      <c r="B130" s="487" t="s">
        <v>1254</v>
      </c>
      <c r="C130" s="501">
        <v>26.5</v>
      </c>
      <c r="D130" s="501">
        <v>14.02</v>
      </c>
      <c r="E130" s="501">
        <v>14.52</v>
      </c>
      <c r="F130" s="501">
        <v>0.71</v>
      </c>
      <c r="G130" s="501">
        <v>0.44</v>
      </c>
      <c r="H130" s="25"/>
      <c r="I130" s="25"/>
      <c r="J130" s="25"/>
      <c r="K130" s="25"/>
      <c r="L130" s="25"/>
      <c r="M130" s="25"/>
      <c r="N130" s="25"/>
      <c r="O130" s="25"/>
      <c r="P130" s="25"/>
      <c r="Q130" s="25"/>
      <c r="R130" s="25"/>
      <c r="S130" s="25"/>
    </row>
    <row r="131" spans="1:19" x14ac:dyDescent="0.2">
      <c r="A131" s="488">
        <v>80</v>
      </c>
      <c r="B131" s="487" t="s">
        <v>1255</v>
      </c>
      <c r="C131" s="501">
        <v>24.1</v>
      </c>
      <c r="D131" s="501">
        <v>14.31</v>
      </c>
      <c r="E131" s="501">
        <v>10.130000000000001</v>
      </c>
      <c r="F131" s="501">
        <v>0.85499999999999998</v>
      </c>
      <c r="G131" s="501">
        <v>0.51</v>
      </c>
      <c r="H131" s="25"/>
      <c r="I131" s="25"/>
      <c r="J131" s="25"/>
      <c r="K131" s="25"/>
      <c r="L131" s="25"/>
      <c r="M131" s="25"/>
      <c r="N131" s="25"/>
      <c r="O131" s="25"/>
      <c r="P131" s="25"/>
      <c r="Q131" s="25"/>
      <c r="R131" s="25"/>
      <c r="S131" s="25"/>
    </row>
    <row r="132" spans="1:19" x14ac:dyDescent="0.2">
      <c r="A132" s="488">
        <v>81</v>
      </c>
      <c r="B132" s="487" t="s">
        <v>1256</v>
      </c>
      <c r="C132" s="501">
        <v>21.8</v>
      </c>
      <c r="D132" s="501">
        <v>14.17</v>
      </c>
      <c r="E132" s="501">
        <v>10.07</v>
      </c>
      <c r="F132" s="501">
        <v>0.78500000000000003</v>
      </c>
      <c r="G132" s="501">
        <v>0.45</v>
      </c>
      <c r="H132" s="25"/>
      <c r="I132" s="25"/>
      <c r="J132" s="25"/>
      <c r="K132" s="25"/>
      <c r="L132" s="25"/>
      <c r="M132" s="25"/>
      <c r="N132" s="25"/>
      <c r="O132" s="25"/>
      <c r="P132" s="25"/>
      <c r="Q132" s="25"/>
      <c r="R132" s="25"/>
      <c r="S132" s="25"/>
    </row>
    <row r="133" spans="1:19" x14ac:dyDescent="0.2">
      <c r="A133" s="488">
        <v>82</v>
      </c>
      <c r="B133" s="487" t="s">
        <v>1257</v>
      </c>
      <c r="C133" s="501">
        <v>20</v>
      </c>
      <c r="D133" s="501">
        <v>14.04</v>
      </c>
      <c r="E133" s="501">
        <v>10.035</v>
      </c>
      <c r="F133" s="501">
        <v>0.72</v>
      </c>
      <c r="G133" s="501">
        <v>0.41499999999999998</v>
      </c>
      <c r="H133" s="25"/>
      <c r="I133" s="25"/>
      <c r="J133" s="25"/>
      <c r="K133" s="25"/>
      <c r="L133" s="25"/>
      <c r="M133" s="25"/>
      <c r="N133" s="25"/>
      <c r="O133" s="25"/>
      <c r="P133" s="25"/>
      <c r="Q133" s="25"/>
      <c r="R133" s="25"/>
      <c r="S133" s="25"/>
    </row>
    <row r="134" spans="1:19" x14ac:dyDescent="0.2">
      <c r="A134" s="488">
        <v>83</v>
      </c>
      <c r="B134" s="487" t="s">
        <v>1258</v>
      </c>
      <c r="C134" s="501">
        <v>17.899999999999999</v>
      </c>
      <c r="D134" s="501">
        <v>13.89</v>
      </c>
      <c r="E134" s="501">
        <v>9.9949999999999992</v>
      </c>
      <c r="F134" s="501">
        <v>0.64500000000000002</v>
      </c>
      <c r="G134" s="501">
        <v>0.375</v>
      </c>
      <c r="H134" s="25"/>
      <c r="I134" s="25"/>
      <c r="J134" s="25"/>
      <c r="K134" s="25"/>
      <c r="L134" s="25"/>
      <c r="M134" s="25"/>
      <c r="N134" s="25"/>
      <c r="O134" s="25"/>
      <c r="P134" s="25"/>
      <c r="Q134" s="25"/>
      <c r="R134" s="25"/>
      <c r="S134" s="25"/>
    </row>
    <row r="135" spans="1:19" x14ac:dyDescent="0.2">
      <c r="A135" s="488">
        <v>84</v>
      </c>
      <c r="B135" s="487" t="s">
        <v>1259</v>
      </c>
      <c r="C135" s="501">
        <v>15.6</v>
      </c>
      <c r="D135" s="501">
        <v>13.92</v>
      </c>
      <c r="E135" s="501">
        <v>8.06</v>
      </c>
      <c r="F135" s="501">
        <v>0.66</v>
      </c>
      <c r="G135" s="501">
        <v>0.37</v>
      </c>
      <c r="H135" s="25"/>
      <c r="I135" s="25"/>
      <c r="J135" s="25"/>
      <c r="K135" s="25"/>
      <c r="L135" s="25"/>
      <c r="M135" s="25"/>
      <c r="N135" s="25"/>
      <c r="O135" s="25"/>
      <c r="P135" s="25"/>
      <c r="Q135" s="25"/>
      <c r="R135" s="25"/>
      <c r="S135" s="25"/>
    </row>
    <row r="136" spans="1:19" x14ac:dyDescent="0.2">
      <c r="A136" s="488">
        <v>85</v>
      </c>
      <c r="B136" s="487" t="s">
        <v>1260</v>
      </c>
      <c r="C136" s="501">
        <v>14.1</v>
      </c>
      <c r="D136" s="501">
        <v>13.79</v>
      </c>
      <c r="E136" s="501">
        <v>8.0299999999999994</v>
      </c>
      <c r="F136" s="501">
        <v>0.59499999999999997</v>
      </c>
      <c r="G136" s="501">
        <v>0.34</v>
      </c>
      <c r="H136" s="25"/>
      <c r="I136" s="25"/>
      <c r="J136" s="25"/>
      <c r="K136" s="25"/>
      <c r="L136" s="25"/>
      <c r="M136" s="25"/>
      <c r="N136" s="25"/>
      <c r="O136" s="25"/>
      <c r="P136" s="25"/>
      <c r="Q136" s="25"/>
      <c r="R136" s="25"/>
      <c r="S136" s="25"/>
    </row>
    <row r="137" spans="1:19" x14ac:dyDescent="0.2">
      <c r="A137" s="488">
        <v>86</v>
      </c>
      <c r="B137" s="487" t="s">
        <v>1261</v>
      </c>
      <c r="C137" s="501">
        <v>12.6</v>
      </c>
      <c r="D137" s="501">
        <v>13.66</v>
      </c>
      <c r="E137" s="501">
        <v>7.9950000000000001</v>
      </c>
      <c r="F137" s="501">
        <v>0.53</v>
      </c>
      <c r="G137" s="501">
        <v>0.30499999999999999</v>
      </c>
      <c r="H137" s="25"/>
      <c r="I137" s="25"/>
      <c r="J137" s="25"/>
      <c r="K137" s="25"/>
      <c r="L137" s="25"/>
      <c r="M137" s="25"/>
      <c r="N137" s="25"/>
      <c r="O137" s="25"/>
      <c r="P137" s="25"/>
      <c r="Q137" s="25"/>
      <c r="R137" s="25"/>
      <c r="S137" s="25"/>
    </row>
    <row r="138" spans="1:19" x14ac:dyDescent="0.2">
      <c r="A138" s="488">
        <v>87</v>
      </c>
      <c r="B138" s="487" t="s">
        <v>1262</v>
      </c>
      <c r="C138" s="501">
        <v>11.2</v>
      </c>
      <c r="D138" s="501">
        <v>14.1</v>
      </c>
      <c r="E138" s="501">
        <v>6.77</v>
      </c>
      <c r="F138" s="501">
        <v>0.51500000000000001</v>
      </c>
      <c r="G138" s="501">
        <v>0.31</v>
      </c>
      <c r="H138" s="25"/>
      <c r="I138" s="25"/>
      <c r="J138" s="25"/>
      <c r="K138" s="25"/>
      <c r="L138" s="25"/>
      <c r="M138" s="25"/>
      <c r="N138" s="25"/>
      <c r="O138" s="25"/>
      <c r="P138" s="25"/>
      <c r="Q138" s="25"/>
      <c r="R138" s="25"/>
      <c r="S138" s="25"/>
    </row>
    <row r="139" spans="1:19" x14ac:dyDescent="0.2">
      <c r="A139" s="488">
        <v>88</v>
      </c>
      <c r="B139" s="487" t="s">
        <v>1263</v>
      </c>
      <c r="C139" s="501">
        <v>10</v>
      </c>
      <c r="D139" s="501">
        <v>13.98</v>
      </c>
      <c r="E139" s="501">
        <v>6.7450000000000001</v>
      </c>
      <c r="F139" s="501">
        <v>0.45500000000000002</v>
      </c>
      <c r="G139" s="501">
        <v>0.28499999999999998</v>
      </c>
      <c r="H139" s="25"/>
      <c r="I139" s="25"/>
      <c r="J139" s="25"/>
      <c r="K139" s="25"/>
      <c r="L139" s="25"/>
      <c r="M139" s="25"/>
      <c r="N139" s="25"/>
      <c r="O139" s="25"/>
      <c r="P139" s="25"/>
      <c r="Q139" s="25"/>
      <c r="R139" s="25"/>
      <c r="S139" s="25"/>
    </row>
    <row r="140" spans="1:19" x14ac:dyDescent="0.2">
      <c r="A140" s="488">
        <v>89</v>
      </c>
      <c r="B140" s="487" t="s">
        <v>1264</v>
      </c>
      <c r="C140" s="501">
        <v>8.85</v>
      </c>
      <c r="D140" s="501">
        <v>13.84</v>
      </c>
      <c r="E140" s="501">
        <v>6.73</v>
      </c>
      <c r="F140" s="501">
        <v>0.38500000000000001</v>
      </c>
      <c r="G140" s="501">
        <v>0.27</v>
      </c>
      <c r="H140" s="25"/>
      <c r="I140" s="25"/>
      <c r="J140" s="25"/>
      <c r="K140" s="25"/>
      <c r="L140" s="25"/>
      <c r="M140" s="25"/>
      <c r="N140" s="25"/>
      <c r="O140" s="25"/>
      <c r="P140" s="25"/>
      <c r="Q140" s="25"/>
      <c r="R140" s="25"/>
      <c r="S140" s="25"/>
    </row>
    <row r="141" spans="1:19" x14ac:dyDescent="0.2">
      <c r="A141" s="488">
        <v>90</v>
      </c>
      <c r="B141" s="487" t="s">
        <v>1265</v>
      </c>
      <c r="C141" s="501">
        <v>7.69</v>
      </c>
      <c r="D141" s="501">
        <v>13.91</v>
      </c>
      <c r="E141" s="501">
        <v>5.0250000000000004</v>
      </c>
      <c r="F141" s="501">
        <v>0.42</v>
      </c>
      <c r="G141" s="501">
        <v>0.255</v>
      </c>
      <c r="H141" s="25"/>
      <c r="I141" s="25"/>
      <c r="J141" s="25"/>
      <c r="K141" s="25"/>
      <c r="L141" s="25"/>
      <c r="M141" s="25"/>
      <c r="N141" s="25"/>
      <c r="O141" s="25"/>
      <c r="P141" s="25"/>
      <c r="Q141" s="25"/>
      <c r="R141" s="25"/>
      <c r="S141" s="25"/>
    </row>
    <row r="142" spans="1:19" x14ac:dyDescent="0.2">
      <c r="A142" s="488">
        <v>91</v>
      </c>
      <c r="B142" s="487" t="s">
        <v>1266</v>
      </c>
      <c r="C142" s="501">
        <v>6.49</v>
      </c>
      <c r="D142" s="501">
        <v>13.74</v>
      </c>
      <c r="E142" s="501">
        <v>5</v>
      </c>
      <c r="F142" s="501">
        <v>0.33500000000000002</v>
      </c>
      <c r="G142" s="501">
        <v>0.23</v>
      </c>
      <c r="H142" s="25"/>
      <c r="I142" s="25"/>
      <c r="J142" s="25"/>
      <c r="K142" s="25"/>
      <c r="L142" s="25"/>
      <c r="M142" s="25"/>
      <c r="N142" s="25"/>
      <c r="O142" s="25"/>
      <c r="P142" s="25"/>
      <c r="Q142" s="25"/>
      <c r="R142" s="25"/>
      <c r="S142" s="25"/>
    </row>
    <row r="143" spans="1:19" x14ac:dyDescent="0.2">
      <c r="A143" s="488">
        <v>92</v>
      </c>
      <c r="B143" s="487" t="s">
        <v>1267</v>
      </c>
      <c r="C143" s="501">
        <v>98.8</v>
      </c>
      <c r="D143" s="501">
        <v>16.82</v>
      </c>
      <c r="E143" s="501">
        <v>13.385</v>
      </c>
      <c r="F143" s="501">
        <v>2.9550000000000001</v>
      </c>
      <c r="G143" s="501">
        <v>1.7749999999999999</v>
      </c>
      <c r="H143" s="25"/>
      <c r="I143" s="25"/>
      <c r="J143" s="25"/>
      <c r="K143" s="25"/>
      <c r="L143" s="25"/>
      <c r="M143" s="25"/>
      <c r="N143" s="25"/>
      <c r="O143" s="25"/>
      <c r="P143" s="25"/>
      <c r="Q143" s="25"/>
      <c r="R143" s="25"/>
      <c r="S143" s="25"/>
    </row>
    <row r="144" spans="1:19" x14ac:dyDescent="0.2">
      <c r="A144" s="488">
        <v>93</v>
      </c>
      <c r="B144" s="487" t="s">
        <v>1268</v>
      </c>
      <c r="C144" s="501">
        <v>89.6</v>
      </c>
      <c r="D144" s="501">
        <v>16.32</v>
      </c>
      <c r="E144" s="501">
        <v>13.234999999999999</v>
      </c>
      <c r="F144" s="501">
        <v>2.7050000000000001</v>
      </c>
      <c r="G144" s="501">
        <v>1.625</v>
      </c>
      <c r="H144" s="25"/>
      <c r="I144" s="25"/>
      <c r="J144" s="25"/>
      <c r="K144" s="25"/>
      <c r="L144" s="25"/>
      <c r="M144" s="25"/>
      <c r="N144" s="25"/>
      <c r="O144" s="25"/>
      <c r="P144" s="25"/>
      <c r="Q144" s="25"/>
      <c r="R144" s="25"/>
      <c r="S144" s="25"/>
    </row>
    <row r="145" spans="1:19" x14ac:dyDescent="0.2">
      <c r="A145" s="488">
        <v>94</v>
      </c>
      <c r="B145" s="487" t="s">
        <v>1269</v>
      </c>
      <c r="C145" s="501">
        <v>81.900000000000006</v>
      </c>
      <c r="D145" s="501">
        <v>15.85</v>
      </c>
      <c r="E145" s="501">
        <v>13.14</v>
      </c>
      <c r="F145" s="501">
        <v>2.4700000000000002</v>
      </c>
      <c r="G145" s="501">
        <v>1.53</v>
      </c>
      <c r="H145" s="25"/>
      <c r="I145" s="25"/>
      <c r="J145" s="25"/>
      <c r="K145" s="25"/>
      <c r="L145" s="25"/>
      <c r="M145" s="25"/>
      <c r="N145" s="25"/>
      <c r="O145" s="25"/>
      <c r="P145" s="25"/>
      <c r="Q145" s="25"/>
      <c r="R145" s="25"/>
      <c r="S145" s="25"/>
    </row>
    <row r="146" spans="1:19" x14ac:dyDescent="0.2">
      <c r="A146" s="488">
        <v>95</v>
      </c>
      <c r="B146" s="487" t="s">
        <v>1270</v>
      </c>
      <c r="C146" s="501">
        <v>74.099999999999994</v>
      </c>
      <c r="D146" s="501">
        <v>15.41</v>
      </c>
      <c r="E146" s="501">
        <v>13.005000000000001</v>
      </c>
      <c r="F146" s="501">
        <v>2.25</v>
      </c>
      <c r="G146" s="501">
        <v>1.395</v>
      </c>
      <c r="H146" s="25"/>
      <c r="I146" s="25"/>
      <c r="J146" s="25"/>
      <c r="K146" s="25"/>
      <c r="L146" s="25"/>
      <c r="M146" s="25"/>
      <c r="N146" s="25"/>
      <c r="O146" s="25"/>
      <c r="P146" s="25"/>
      <c r="Q146" s="25"/>
      <c r="R146" s="25"/>
      <c r="S146" s="25"/>
    </row>
    <row r="147" spans="1:19" x14ac:dyDescent="0.2">
      <c r="A147" s="488">
        <v>96</v>
      </c>
      <c r="B147" s="487" t="s">
        <v>1271</v>
      </c>
      <c r="C147" s="501">
        <v>67.7</v>
      </c>
      <c r="D147" s="501">
        <v>15.05</v>
      </c>
      <c r="E147" s="501">
        <v>12.895</v>
      </c>
      <c r="F147" s="501">
        <v>2.0699999999999998</v>
      </c>
      <c r="G147" s="501">
        <v>1.2849999999999999</v>
      </c>
      <c r="H147" s="25"/>
      <c r="I147" s="25"/>
      <c r="J147" s="25"/>
      <c r="K147" s="25"/>
      <c r="L147" s="25"/>
      <c r="M147" s="25"/>
      <c r="N147" s="25"/>
      <c r="O147" s="25"/>
      <c r="P147" s="25"/>
      <c r="Q147" s="25"/>
      <c r="R147" s="25"/>
      <c r="S147" s="25"/>
    </row>
    <row r="148" spans="1:19" x14ac:dyDescent="0.2">
      <c r="A148" s="488">
        <v>97</v>
      </c>
      <c r="B148" s="487" t="s">
        <v>1272</v>
      </c>
      <c r="C148" s="501">
        <v>61.8</v>
      </c>
      <c r="D148" s="501">
        <v>14.71</v>
      </c>
      <c r="E148" s="501">
        <v>12.79</v>
      </c>
      <c r="F148" s="501">
        <v>1.9</v>
      </c>
      <c r="G148" s="501">
        <v>1.18</v>
      </c>
      <c r="H148" s="25"/>
      <c r="I148" s="25"/>
      <c r="J148" s="25"/>
      <c r="K148" s="25"/>
      <c r="L148" s="25"/>
      <c r="M148" s="25"/>
      <c r="N148" s="25"/>
      <c r="O148" s="25"/>
      <c r="P148" s="25"/>
      <c r="Q148" s="25"/>
      <c r="R148" s="25"/>
      <c r="S148" s="25"/>
    </row>
    <row r="149" spans="1:19" x14ac:dyDescent="0.2">
      <c r="A149" s="488">
        <v>98</v>
      </c>
      <c r="B149" s="487" t="s">
        <v>1273</v>
      </c>
      <c r="C149" s="501">
        <v>55.8</v>
      </c>
      <c r="D149" s="501">
        <v>14.38</v>
      </c>
      <c r="E149" s="501">
        <v>12.67</v>
      </c>
      <c r="F149" s="501">
        <v>1.7350000000000001</v>
      </c>
      <c r="G149" s="501">
        <v>1.06</v>
      </c>
      <c r="H149" s="25"/>
      <c r="I149" s="25"/>
      <c r="J149" s="25"/>
      <c r="K149" s="25"/>
      <c r="L149" s="25"/>
      <c r="M149" s="25"/>
      <c r="N149" s="25"/>
      <c r="O149" s="25"/>
      <c r="P149" s="25"/>
      <c r="Q149" s="25"/>
      <c r="R149" s="25"/>
      <c r="S149" s="25"/>
    </row>
    <row r="150" spans="1:19" x14ac:dyDescent="0.2">
      <c r="A150" s="488">
        <v>99</v>
      </c>
      <c r="B150" s="487" t="s">
        <v>1274</v>
      </c>
      <c r="C150" s="501">
        <v>50</v>
      </c>
      <c r="D150" s="501">
        <v>14.03</v>
      </c>
      <c r="E150" s="501">
        <v>12.57</v>
      </c>
      <c r="F150" s="501">
        <v>1.56</v>
      </c>
      <c r="G150" s="501">
        <v>0.96</v>
      </c>
      <c r="H150" s="25"/>
      <c r="I150" s="25"/>
      <c r="J150" s="25"/>
      <c r="K150" s="25"/>
      <c r="L150" s="25"/>
      <c r="M150" s="25"/>
      <c r="N150" s="25"/>
      <c r="O150" s="25"/>
      <c r="P150" s="25"/>
      <c r="Q150" s="25"/>
      <c r="R150" s="25"/>
      <c r="S150" s="25"/>
    </row>
    <row r="151" spans="1:19" x14ac:dyDescent="0.2">
      <c r="A151" s="488">
        <v>100</v>
      </c>
      <c r="B151" s="487" t="s">
        <v>1275</v>
      </c>
      <c r="C151" s="501">
        <v>44.7</v>
      </c>
      <c r="D151" s="501">
        <v>13.71</v>
      </c>
      <c r="E151" s="501">
        <v>12.48</v>
      </c>
      <c r="F151" s="501">
        <v>1.4</v>
      </c>
      <c r="G151" s="501">
        <v>0.87</v>
      </c>
      <c r="H151" s="25"/>
      <c r="I151" s="25"/>
      <c r="J151" s="25"/>
      <c r="K151" s="25"/>
      <c r="L151" s="25"/>
      <c r="M151" s="25"/>
      <c r="N151" s="25"/>
      <c r="O151" s="25"/>
      <c r="P151" s="25"/>
      <c r="Q151" s="25"/>
      <c r="R151" s="25"/>
      <c r="S151" s="25"/>
    </row>
    <row r="152" spans="1:19" x14ac:dyDescent="0.2">
      <c r="A152" s="488">
        <v>101</v>
      </c>
      <c r="B152" s="487" t="s">
        <v>1276</v>
      </c>
      <c r="C152" s="501">
        <v>39.9</v>
      </c>
      <c r="D152" s="501">
        <v>13.41</v>
      </c>
      <c r="E152" s="501">
        <v>12.4</v>
      </c>
      <c r="F152" s="501">
        <v>1.25</v>
      </c>
      <c r="G152" s="501">
        <v>0.79</v>
      </c>
      <c r="H152" s="25"/>
      <c r="I152" s="25"/>
      <c r="J152" s="25"/>
      <c r="K152" s="25"/>
      <c r="L152" s="25"/>
      <c r="M152" s="25"/>
      <c r="N152" s="25"/>
      <c r="O152" s="25"/>
      <c r="P152" s="25"/>
      <c r="Q152" s="25"/>
      <c r="R152" s="25"/>
      <c r="S152" s="25"/>
    </row>
    <row r="153" spans="1:19" x14ac:dyDescent="0.2">
      <c r="A153" s="488">
        <v>102</v>
      </c>
      <c r="B153" s="487" t="s">
        <v>1277</v>
      </c>
      <c r="C153" s="501">
        <v>35.299999999999997</v>
      </c>
      <c r="D153" s="501">
        <v>13.12</v>
      </c>
      <c r="E153" s="501">
        <v>12.32</v>
      </c>
      <c r="F153" s="501">
        <v>1.105</v>
      </c>
      <c r="G153" s="501">
        <v>0.71</v>
      </c>
      <c r="H153" s="25"/>
      <c r="I153" s="25"/>
      <c r="J153" s="25"/>
      <c r="K153" s="25"/>
      <c r="L153" s="25"/>
      <c r="M153" s="25"/>
      <c r="N153" s="25"/>
      <c r="O153" s="25"/>
      <c r="P153" s="25"/>
      <c r="Q153" s="25"/>
      <c r="R153" s="25"/>
      <c r="S153" s="25"/>
    </row>
    <row r="154" spans="1:19" x14ac:dyDescent="0.2">
      <c r="A154" s="488">
        <v>103</v>
      </c>
      <c r="B154" s="487" t="s">
        <v>1278</v>
      </c>
      <c r="C154" s="501">
        <v>31.2</v>
      </c>
      <c r="D154" s="501">
        <v>12.89</v>
      </c>
      <c r="E154" s="501">
        <v>12.22</v>
      </c>
      <c r="F154" s="501">
        <v>0.99</v>
      </c>
      <c r="G154" s="501">
        <v>0.61</v>
      </c>
      <c r="H154" s="25"/>
      <c r="I154" s="25"/>
      <c r="J154" s="25"/>
      <c r="K154" s="25"/>
      <c r="L154" s="25"/>
      <c r="M154" s="25"/>
      <c r="N154" s="25"/>
      <c r="O154" s="25"/>
      <c r="P154" s="25"/>
      <c r="Q154" s="25"/>
      <c r="R154" s="25"/>
      <c r="S154" s="25"/>
    </row>
    <row r="155" spans="1:19" x14ac:dyDescent="0.2">
      <c r="A155" s="488">
        <v>104</v>
      </c>
      <c r="B155" s="487" t="s">
        <v>1279</v>
      </c>
      <c r="C155" s="501">
        <v>28.2</v>
      </c>
      <c r="D155" s="501">
        <v>12.71</v>
      </c>
      <c r="E155" s="501">
        <v>12.16</v>
      </c>
      <c r="F155" s="501">
        <v>0.9</v>
      </c>
      <c r="G155" s="501">
        <v>0.55000000000000004</v>
      </c>
      <c r="H155" s="25"/>
      <c r="I155" s="25"/>
      <c r="J155" s="25"/>
      <c r="K155" s="25"/>
      <c r="L155" s="25"/>
      <c r="M155" s="25"/>
      <c r="N155" s="25"/>
      <c r="O155" s="25"/>
      <c r="P155" s="25"/>
      <c r="Q155" s="25"/>
      <c r="R155" s="25"/>
      <c r="S155" s="25"/>
    </row>
    <row r="156" spans="1:19" x14ac:dyDescent="0.2">
      <c r="A156" s="488">
        <v>105</v>
      </c>
      <c r="B156" s="487" t="s">
        <v>1280</v>
      </c>
      <c r="C156" s="501">
        <v>25.6</v>
      </c>
      <c r="D156" s="501">
        <v>12.53</v>
      </c>
      <c r="E156" s="501">
        <v>12.125</v>
      </c>
      <c r="F156" s="501">
        <v>0.81</v>
      </c>
      <c r="G156" s="501">
        <v>0.51500000000000001</v>
      </c>
      <c r="H156" s="25"/>
      <c r="I156" s="25"/>
      <c r="J156" s="25"/>
      <c r="K156" s="25"/>
      <c r="L156" s="25"/>
      <c r="M156" s="25"/>
      <c r="N156" s="25"/>
      <c r="O156" s="25"/>
      <c r="P156" s="25"/>
      <c r="Q156" s="25"/>
      <c r="R156" s="25"/>
      <c r="S156" s="25"/>
    </row>
    <row r="157" spans="1:19" x14ac:dyDescent="0.2">
      <c r="A157" s="488">
        <v>106</v>
      </c>
      <c r="B157" s="487" t="s">
        <v>1281</v>
      </c>
      <c r="C157" s="501">
        <v>23.2</v>
      </c>
      <c r="D157" s="501">
        <v>12.38</v>
      </c>
      <c r="E157" s="501">
        <v>12.08</v>
      </c>
      <c r="F157" s="501">
        <v>0.73499999999999999</v>
      </c>
      <c r="G157" s="501">
        <v>0.47</v>
      </c>
      <c r="H157" s="25"/>
      <c r="I157" s="25"/>
      <c r="J157" s="25"/>
      <c r="K157" s="25"/>
      <c r="L157" s="25"/>
      <c r="M157" s="25"/>
      <c r="N157" s="25"/>
      <c r="O157" s="25"/>
      <c r="P157" s="25"/>
      <c r="Q157" s="25"/>
      <c r="R157" s="25"/>
      <c r="S157" s="25"/>
    </row>
    <row r="158" spans="1:19" x14ac:dyDescent="0.2">
      <c r="A158" s="488">
        <v>107</v>
      </c>
      <c r="B158" s="487" t="s">
        <v>1282</v>
      </c>
      <c r="C158" s="501">
        <v>21.1</v>
      </c>
      <c r="D158" s="501">
        <v>12.25</v>
      </c>
      <c r="E158" s="501">
        <v>12.04</v>
      </c>
      <c r="F158" s="501">
        <v>0.67</v>
      </c>
      <c r="G158" s="501">
        <v>0.43</v>
      </c>
      <c r="H158" s="25"/>
      <c r="I158" s="25"/>
      <c r="J158" s="25"/>
      <c r="K158" s="25"/>
      <c r="L158" s="25"/>
      <c r="M158" s="25"/>
      <c r="N158" s="25"/>
      <c r="O158" s="25"/>
      <c r="P158" s="25"/>
      <c r="Q158" s="25"/>
      <c r="R158" s="25"/>
      <c r="S158" s="25"/>
    </row>
    <row r="159" spans="1:19" x14ac:dyDescent="0.2">
      <c r="A159" s="488">
        <v>108</v>
      </c>
      <c r="B159" s="487" t="s">
        <v>1283</v>
      </c>
      <c r="C159" s="501">
        <v>19.100000000000001</v>
      </c>
      <c r="D159" s="501">
        <v>12.12</v>
      </c>
      <c r="E159" s="501">
        <v>12</v>
      </c>
      <c r="F159" s="501">
        <v>0.60499999999999998</v>
      </c>
      <c r="G159" s="501">
        <v>0.39</v>
      </c>
      <c r="H159" s="25"/>
      <c r="I159" s="25"/>
      <c r="J159" s="25"/>
      <c r="K159" s="25"/>
      <c r="L159" s="25"/>
      <c r="M159" s="25"/>
      <c r="N159" s="25"/>
      <c r="O159" s="25"/>
      <c r="P159" s="25"/>
      <c r="Q159" s="25"/>
      <c r="R159" s="25"/>
      <c r="S159" s="25"/>
    </row>
    <row r="160" spans="1:19" x14ac:dyDescent="0.2">
      <c r="A160" s="488">
        <v>109</v>
      </c>
      <c r="B160" s="487" t="s">
        <v>1284</v>
      </c>
      <c r="C160" s="501">
        <v>17</v>
      </c>
      <c r="D160" s="501">
        <v>12.19</v>
      </c>
      <c r="E160" s="501">
        <v>10.01</v>
      </c>
      <c r="F160" s="501">
        <v>0.64</v>
      </c>
      <c r="G160" s="501">
        <v>0.36</v>
      </c>
      <c r="H160" s="25"/>
      <c r="I160" s="25"/>
      <c r="J160" s="25"/>
      <c r="K160" s="25"/>
      <c r="L160" s="25"/>
      <c r="M160" s="25"/>
      <c r="N160" s="25"/>
      <c r="O160" s="25"/>
      <c r="P160" s="25"/>
      <c r="Q160" s="25"/>
      <c r="R160" s="25"/>
      <c r="S160" s="25"/>
    </row>
    <row r="161" spans="1:19" x14ac:dyDescent="0.2">
      <c r="A161" s="488">
        <v>110</v>
      </c>
      <c r="B161" s="487" t="s">
        <v>1285</v>
      </c>
      <c r="C161" s="501">
        <v>15.6</v>
      </c>
      <c r="D161" s="501">
        <v>12.06</v>
      </c>
      <c r="E161" s="501">
        <v>9.9949999999999992</v>
      </c>
      <c r="F161" s="501">
        <v>0.57499999999999996</v>
      </c>
      <c r="G161" s="501">
        <v>0.34499999999999997</v>
      </c>
      <c r="H161" s="25"/>
      <c r="I161" s="25"/>
      <c r="J161" s="25"/>
      <c r="K161" s="25"/>
      <c r="L161" s="25"/>
      <c r="M161" s="25"/>
      <c r="N161" s="25"/>
      <c r="O161" s="25"/>
      <c r="P161" s="25"/>
      <c r="Q161" s="25"/>
      <c r="R161" s="25"/>
      <c r="S161" s="25"/>
    </row>
    <row r="162" spans="1:19" x14ac:dyDescent="0.2">
      <c r="A162" s="488">
        <v>111</v>
      </c>
      <c r="B162" s="487" t="s">
        <v>1286</v>
      </c>
      <c r="C162" s="501">
        <v>14.7</v>
      </c>
      <c r="D162" s="501">
        <v>12.19</v>
      </c>
      <c r="E162" s="501">
        <v>8.08</v>
      </c>
      <c r="F162" s="501">
        <v>0.64</v>
      </c>
      <c r="G162" s="501">
        <v>0.37</v>
      </c>
      <c r="H162" s="25"/>
      <c r="I162" s="25"/>
      <c r="J162" s="25"/>
      <c r="K162" s="25"/>
      <c r="L162" s="25"/>
      <c r="M162" s="25"/>
      <c r="N162" s="25"/>
      <c r="O162" s="25"/>
      <c r="P162" s="25"/>
      <c r="Q162" s="25"/>
      <c r="R162" s="25"/>
      <c r="S162" s="25"/>
    </row>
    <row r="163" spans="1:19" x14ac:dyDescent="0.2">
      <c r="A163" s="488">
        <v>112</v>
      </c>
      <c r="B163" s="487" t="s">
        <v>1287</v>
      </c>
      <c r="C163" s="501">
        <v>13.2</v>
      </c>
      <c r="D163" s="501">
        <v>12.06</v>
      </c>
      <c r="E163" s="501">
        <v>8.0449999999999999</v>
      </c>
      <c r="F163" s="501">
        <v>0.57499999999999996</v>
      </c>
      <c r="G163" s="501">
        <v>0.33500000000000002</v>
      </c>
      <c r="H163" s="25"/>
      <c r="I163" s="25"/>
      <c r="J163" s="25"/>
      <c r="K163" s="25"/>
      <c r="L163" s="25"/>
      <c r="M163" s="25"/>
      <c r="N163" s="25"/>
      <c r="O163" s="25"/>
      <c r="P163" s="25"/>
      <c r="Q163" s="25"/>
      <c r="R163" s="25"/>
      <c r="S163" s="25"/>
    </row>
    <row r="164" spans="1:19" x14ac:dyDescent="0.2">
      <c r="A164" s="488">
        <v>113</v>
      </c>
      <c r="B164" s="487" t="s">
        <v>1288</v>
      </c>
      <c r="C164" s="501">
        <v>11.8</v>
      </c>
      <c r="D164" s="501">
        <v>11.94</v>
      </c>
      <c r="E164" s="501">
        <v>8.0050000000000008</v>
      </c>
      <c r="F164" s="501">
        <v>0.51500000000000001</v>
      </c>
      <c r="G164" s="501">
        <v>0.29499999999999998</v>
      </c>
      <c r="H164" s="25"/>
      <c r="I164" s="25"/>
      <c r="J164" s="25"/>
      <c r="K164" s="25"/>
      <c r="L164" s="25"/>
      <c r="M164" s="25"/>
      <c r="N164" s="25"/>
      <c r="O164" s="25"/>
      <c r="P164" s="25"/>
      <c r="Q164" s="25"/>
      <c r="R164" s="25"/>
      <c r="S164" s="25"/>
    </row>
    <row r="165" spans="1:19" x14ac:dyDescent="0.2">
      <c r="A165" s="488">
        <v>114</v>
      </c>
      <c r="B165" s="487" t="s">
        <v>1289</v>
      </c>
      <c r="C165" s="501">
        <v>10.3</v>
      </c>
      <c r="D165" s="501">
        <v>12.5</v>
      </c>
      <c r="E165" s="501">
        <v>6.56</v>
      </c>
      <c r="F165" s="501">
        <v>0.52</v>
      </c>
      <c r="G165" s="501">
        <v>0.3</v>
      </c>
      <c r="H165" s="25"/>
      <c r="I165" s="25"/>
      <c r="J165" s="25"/>
      <c r="K165" s="25"/>
      <c r="L165" s="25"/>
      <c r="M165" s="25"/>
      <c r="N165" s="25"/>
      <c r="O165" s="25"/>
      <c r="P165" s="25"/>
      <c r="Q165" s="25"/>
      <c r="R165" s="25"/>
      <c r="S165" s="25"/>
    </row>
    <row r="166" spans="1:19" x14ac:dyDescent="0.2">
      <c r="A166" s="488">
        <v>115</v>
      </c>
      <c r="B166" s="487" t="s">
        <v>1290</v>
      </c>
      <c r="C166" s="501">
        <v>8.7899999999999991</v>
      </c>
      <c r="D166" s="501">
        <v>12.34</v>
      </c>
      <c r="E166" s="501">
        <v>6.52</v>
      </c>
      <c r="F166" s="501">
        <v>0.44</v>
      </c>
      <c r="G166" s="501">
        <v>0.26</v>
      </c>
      <c r="H166" s="25"/>
      <c r="I166" s="25"/>
      <c r="J166" s="25"/>
      <c r="K166" s="25"/>
      <c r="L166" s="25"/>
      <c r="M166" s="25"/>
      <c r="N166" s="25"/>
      <c r="O166" s="25"/>
      <c r="P166" s="25"/>
      <c r="Q166" s="25"/>
      <c r="R166" s="25"/>
      <c r="S166" s="25"/>
    </row>
    <row r="167" spans="1:19" x14ac:dyDescent="0.2">
      <c r="A167" s="488">
        <v>116</v>
      </c>
      <c r="B167" s="487" t="s">
        <v>1291</v>
      </c>
      <c r="C167" s="501">
        <v>7.65</v>
      </c>
      <c r="D167" s="501">
        <v>12.22</v>
      </c>
      <c r="E167" s="501">
        <v>6.49</v>
      </c>
      <c r="F167" s="501">
        <v>0.38</v>
      </c>
      <c r="G167" s="501">
        <v>0.23</v>
      </c>
      <c r="H167" s="25"/>
      <c r="I167" s="25"/>
      <c r="J167" s="25"/>
      <c r="K167" s="25"/>
      <c r="L167" s="25"/>
      <c r="M167" s="25"/>
      <c r="N167" s="25"/>
      <c r="O167" s="25"/>
      <c r="P167" s="25"/>
      <c r="Q167" s="25"/>
      <c r="R167" s="25"/>
      <c r="S167" s="25"/>
    </row>
    <row r="168" spans="1:19" x14ac:dyDescent="0.2">
      <c r="A168" s="488">
        <v>117</v>
      </c>
      <c r="B168" s="487" t="s">
        <v>1292</v>
      </c>
      <c r="C168" s="501">
        <v>6.48</v>
      </c>
      <c r="D168" s="501">
        <v>12.31</v>
      </c>
      <c r="E168" s="501">
        <v>4.03</v>
      </c>
      <c r="F168" s="501">
        <v>0.42499999999999999</v>
      </c>
      <c r="G168" s="501">
        <v>0.26</v>
      </c>
      <c r="H168" s="25"/>
      <c r="I168" s="25"/>
      <c r="J168" s="25"/>
      <c r="K168" s="25"/>
      <c r="L168" s="25"/>
      <c r="M168" s="25"/>
      <c r="N168" s="25"/>
      <c r="O168" s="25"/>
      <c r="P168" s="25"/>
      <c r="Q168" s="25"/>
      <c r="R168" s="25"/>
      <c r="S168" s="25"/>
    </row>
    <row r="169" spans="1:19" x14ac:dyDescent="0.2">
      <c r="A169" s="488">
        <v>118</v>
      </c>
      <c r="B169" s="487" t="s">
        <v>1293</v>
      </c>
      <c r="C169" s="501">
        <v>5.57</v>
      </c>
      <c r="D169" s="501">
        <v>12.16</v>
      </c>
      <c r="E169" s="501">
        <v>4.0049999999999999</v>
      </c>
      <c r="F169" s="501">
        <v>0.35</v>
      </c>
      <c r="G169" s="501">
        <v>0.23499999999999999</v>
      </c>
      <c r="H169" s="25"/>
      <c r="I169" s="25"/>
      <c r="J169" s="25"/>
      <c r="K169" s="25"/>
      <c r="L169" s="25"/>
      <c r="M169" s="25"/>
      <c r="N169" s="25"/>
      <c r="O169" s="25"/>
      <c r="P169" s="25"/>
      <c r="Q169" s="25"/>
      <c r="R169" s="25"/>
      <c r="S169" s="25"/>
    </row>
    <row r="170" spans="1:19" x14ac:dyDescent="0.2">
      <c r="A170" s="488">
        <v>119</v>
      </c>
      <c r="B170" s="487" t="s">
        <v>1294</v>
      </c>
      <c r="C170" s="501">
        <v>4.71</v>
      </c>
      <c r="D170" s="501">
        <v>11.99</v>
      </c>
      <c r="E170" s="501">
        <v>3.99</v>
      </c>
      <c r="F170" s="501">
        <v>0.26500000000000001</v>
      </c>
      <c r="G170" s="501">
        <v>0.22</v>
      </c>
      <c r="H170" s="25"/>
      <c r="I170" s="25"/>
      <c r="J170" s="25"/>
      <c r="K170" s="25"/>
      <c r="L170" s="25"/>
      <c r="M170" s="25"/>
      <c r="N170" s="25"/>
      <c r="O170" s="25"/>
      <c r="P170" s="25"/>
      <c r="Q170" s="25"/>
      <c r="R170" s="25"/>
      <c r="S170" s="25"/>
    </row>
    <row r="171" spans="1:19" x14ac:dyDescent="0.2">
      <c r="A171" s="488">
        <v>120</v>
      </c>
      <c r="B171" s="487" t="s">
        <v>1295</v>
      </c>
      <c r="C171" s="501">
        <v>4.16</v>
      </c>
      <c r="D171" s="501">
        <v>11.91</v>
      </c>
      <c r="E171" s="501">
        <v>3.97</v>
      </c>
      <c r="F171" s="501">
        <v>0.22500000000000001</v>
      </c>
      <c r="G171" s="501">
        <v>0.2</v>
      </c>
      <c r="H171" s="25"/>
      <c r="I171" s="25"/>
      <c r="J171" s="25"/>
      <c r="K171" s="25"/>
      <c r="L171" s="25"/>
      <c r="M171" s="25"/>
      <c r="N171" s="25"/>
      <c r="O171" s="25"/>
      <c r="P171" s="25"/>
      <c r="Q171" s="25"/>
      <c r="R171" s="25"/>
      <c r="S171" s="25"/>
    </row>
    <row r="172" spans="1:19" x14ac:dyDescent="0.2">
      <c r="A172" s="488">
        <v>121</v>
      </c>
      <c r="B172" s="487" t="s">
        <v>1296</v>
      </c>
      <c r="C172" s="501">
        <v>32.9</v>
      </c>
      <c r="D172" s="501">
        <v>11.36</v>
      </c>
      <c r="E172" s="501">
        <v>10.414999999999999</v>
      </c>
      <c r="F172" s="501">
        <v>1.25</v>
      </c>
      <c r="G172" s="501">
        <v>0.755</v>
      </c>
      <c r="H172" s="25"/>
      <c r="I172" s="25"/>
      <c r="J172" s="25"/>
      <c r="K172" s="25"/>
      <c r="L172" s="25"/>
      <c r="M172" s="25"/>
      <c r="N172" s="25"/>
      <c r="O172" s="25"/>
      <c r="P172" s="25"/>
      <c r="Q172" s="25"/>
      <c r="R172" s="25"/>
      <c r="S172" s="25"/>
    </row>
    <row r="173" spans="1:19" x14ac:dyDescent="0.2">
      <c r="A173" s="488">
        <v>122</v>
      </c>
      <c r="B173" s="487" t="s">
        <v>1297</v>
      </c>
      <c r="C173" s="501">
        <v>29.4</v>
      </c>
      <c r="D173" s="501">
        <v>11.1</v>
      </c>
      <c r="E173" s="501">
        <v>10.34</v>
      </c>
      <c r="F173" s="501">
        <v>1.1200000000000001</v>
      </c>
      <c r="G173" s="501">
        <v>0.68</v>
      </c>
      <c r="H173" s="25"/>
      <c r="I173" s="25"/>
      <c r="J173" s="25"/>
      <c r="K173" s="25"/>
      <c r="L173" s="25"/>
      <c r="M173" s="25"/>
      <c r="N173" s="25"/>
      <c r="O173" s="25"/>
      <c r="P173" s="25"/>
      <c r="Q173" s="25"/>
      <c r="R173" s="25"/>
      <c r="S173" s="25"/>
    </row>
    <row r="174" spans="1:19" x14ac:dyDescent="0.2">
      <c r="A174" s="488">
        <v>123</v>
      </c>
      <c r="B174" s="487" t="s">
        <v>1298</v>
      </c>
      <c r="C174" s="501">
        <v>25.9</v>
      </c>
      <c r="D174" s="501">
        <v>10.84</v>
      </c>
      <c r="E174" s="501">
        <v>10.265000000000001</v>
      </c>
      <c r="F174" s="501">
        <v>0.99</v>
      </c>
      <c r="G174" s="501">
        <v>0.60499999999999998</v>
      </c>
      <c r="H174" s="25"/>
      <c r="I174" s="25"/>
      <c r="J174" s="25"/>
      <c r="K174" s="25"/>
      <c r="L174" s="25"/>
      <c r="M174" s="25"/>
      <c r="N174" s="25"/>
      <c r="O174" s="25"/>
      <c r="P174" s="25"/>
      <c r="Q174" s="25"/>
      <c r="R174" s="25"/>
      <c r="S174" s="25"/>
    </row>
    <row r="175" spans="1:19" x14ac:dyDescent="0.2">
      <c r="A175" s="488">
        <v>124</v>
      </c>
      <c r="B175" s="487" t="s">
        <v>1299</v>
      </c>
      <c r="C175" s="501">
        <v>22.6</v>
      </c>
      <c r="D175" s="501">
        <v>10.6</v>
      </c>
      <c r="E175" s="501">
        <v>10.19</v>
      </c>
      <c r="F175" s="501">
        <v>0.87</v>
      </c>
      <c r="G175" s="501">
        <v>0.53</v>
      </c>
      <c r="H175" s="25"/>
      <c r="I175" s="25"/>
      <c r="J175" s="25"/>
      <c r="K175" s="25"/>
      <c r="L175" s="25"/>
      <c r="M175" s="25"/>
      <c r="N175" s="25"/>
      <c r="O175" s="25"/>
      <c r="P175" s="25"/>
      <c r="Q175" s="25"/>
      <c r="R175" s="25"/>
      <c r="S175" s="25"/>
    </row>
    <row r="176" spans="1:19" x14ac:dyDescent="0.2">
      <c r="A176" s="488">
        <v>125</v>
      </c>
      <c r="B176" s="487" t="s">
        <v>1308</v>
      </c>
      <c r="C176" s="501">
        <v>20</v>
      </c>
      <c r="D176" s="501">
        <v>10.4</v>
      </c>
      <c r="E176" s="501">
        <v>10.130000000000001</v>
      </c>
      <c r="F176" s="501">
        <v>0.77</v>
      </c>
      <c r="G176" s="501">
        <v>0.47</v>
      </c>
      <c r="H176" s="25"/>
      <c r="I176" s="25"/>
      <c r="J176" s="25"/>
      <c r="K176" s="25"/>
      <c r="L176" s="25"/>
      <c r="M176" s="25"/>
      <c r="N176" s="25"/>
      <c r="O176" s="25"/>
      <c r="P176" s="25"/>
      <c r="Q176" s="25"/>
      <c r="R176" s="25"/>
      <c r="S176" s="25"/>
    </row>
    <row r="177" spans="1:19" x14ac:dyDescent="0.2">
      <c r="A177" s="488">
        <v>126</v>
      </c>
      <c r="B177" s="487" t="s">
        <v>1309</v>
      </c>
      <c r="C177" s="501">
        <v>17.600000000000001</v>
      </c>
      <c r="D177" s="501">
        <v>10.220000000000001</v>
      </c>
      <c r="E177" s="501">
        <v>10.08</v>
      </c>
      <c r="F177" s="501">
        <v>0.68</v>
      </c>
      <c r="G177" s="501">
        <v>0.42</v>
      </c>
      <c r="H177" s="25"/>
      <c r="I177" s="25"/>
      <c r="J177" s="25"/>
      <c r="K177" s="25"/>
      <c r="L177" s="25"/>
      <c r="M177" s="25"/>
      <c r="N177" s="25"/>
      <c r="O177" s="25"/>
      <c r="P177" s="25"/>
      <c r="Q177" s="25"/>
      <c r="R177" s="25"/>
      <c r="S177" s="25"/>
    </row>
    <row r="178" spans="1:19" x14ac:dyDescent="0.2">
      <c r="A178" s="488">
        <v>127</v>
      </c>
      <c r="B178" s="487" t="s">
        <v>1310</v>
      </c>
      <c r="C178" s="501">
        <v>15.8</v>
      </c>
      <c r="D178" s="501">
        <v>10.09</v>
      </c>
      <c r="E178" s="501">
        <v>10.029999999999999</v>
      </c>
      <c r="F178" s="501">
        <v>0.61499999999999999</v>
      </c>
      <c r="G178" s="501">
        <v>0.37</v>
      </c>
      <c r="H178" s="25"/>
      <c r="I178" s="25"/>
      <c r="J178" s="25"/>
      <c r="K178" s="25"/>
      <c r="L178" s="25"/>
      <c r="M178" s="25"/>
      <c r="N178" s="25"/>
      <c r="O178" s="25"/>
      <c r="P178" s="25"/>
      <c r="Q178" s="25"/>
      <c r="R178" s="25"/>
      <c r="S178" s="25"/>
    </row>
    <row r="179" spans="1:19" x14ac:dyDescent="0.2">
      <c r="A179" s="488">
        <v>128</v>
      </c>
      <c r="B179" s="487" t="s">
        <v>1311</v>
      </c>
      <c r="C179" s="501">
        <v>14.4</v>
      </c>
      <c r="D179" s="501">
        <v>9.98</v>
      </c>
      <c r="E179" s="501">
        <v>10</v>
      </c>
      <c r="F179" s="501">
        <v>0.56000000000000005</v>
      </c>
      <c r="G179" s="501">
        <v>0.34</v>
      </c>
      <c r="H179" s="25"/>
      <c r="I179" s="25"/>
      <c r="J179" s="25"/>
      <c r="K179" s="25"/>
      <c r="L179" s="25"/>
      <c r="M179" s="25"/>
      <c r="N179" s="25"/>
      <c r="O179" s="25"/>
      <c r="P179" s="25"/>
      <c r="Q179" s="25"/>
      <c r="R179" s="25"/>
      <c r="S179" s="25"/>
    </row>
    <row r="180" spans="1:19" x14ac:dyDescent="0.2">
      <c r="A180" s="488">
        <v>129</v>
      </c>
      <c r="B180" s="487" t="s">
        <v>1314</v>
      </c>
      <c r="C180" s="501">
        <v>13.3</v>
      </c>
      <c r="D180" s="501">
        <v>10.1</v>
      </c>
      <c r="E180" s="501">
        <v>8.02</v>
      </c>
      <c r="F180" s="501">
        <v>0.62</v>
      </c>
      <c r="G180" s="501">
        <v>0.35</v>
      </c>
      <c r="H180" s="25"/>
      <c r="I180" s="25"/>
      <c r="J180" s="25"/>
      <c r="K180" s="25"/>
      <c r="L180" s="25"/>
      <c r="M180" s="25"/>
      <c r="N180" s="25"/>
      <c r="O180" s="25"/>
      <c r="P180" s="25"/>
      <c r="Q180" s="25"/>
      <c r="R180" s="25"/>
      <c r="S180" s="25"/>
    </row>
    <row r="181" spans="1:19" x14ac:dyDescent="0.2">
      <c r="A181" s="488">
        <v>130</v>
      </c>
      <c r="B181" s="487" t="s">
        <v>1315</v>
      </c>
      <c r="C181" s="501">
        <v>11.5</v>
      </c>
      <c r="D181" s="501">
        <v>9.92</v>
      </c>
      <c r="E181" s="501">
        <v>7.9850000000000003</v>
      </c>
      <c r="F181" s="501">
        <v>0.53</v>
      </c>
      <c r="G181" s="501">
        <v>0.315</v>
      </c>
      <c r="H181" s="25"/>
      <c r="I181" s="25"/>
      <c r="J181" s="25"/>
      <c r="K181" s="25"/>
      <c r="L181" s="25"/>
      <c r="M181" s="25"/>
      <c r="N181" s="25"/>
      <c r="O181" s="25"/>
      <c r="P181" s="25"/>
      <c r="Q181" s="25"/>
      <c r="R181" s="25"/>
      <c r="S181" s="25"/>
    </row>
    <row r="182" spans="1:19" x14ac:dyDescent="0.2">
      <c r="A182" s="488">
        <v>131</v>
      </c>
      <c r="B182" s="487" t="s">
        <v>1316</v>
      </c>
      <c r="C182" s="501">
        <v>9.7100000000000009</v>
      </c>
      <c r="D182" s="501">
        <v>9.73</v>
      </c>
      <c r="E182" s="501">
        <v>7.96</v>
      </c>
      <c r="F182" s="501">
        <v>0.435</v>
      </c>
      <c r="G182" s="501">
        <v>0.28999999999999998</v>
      </c>
      <c r="H182" s="25"/>
      <c r="I182" s="25"/>
      <c r="J182" s="25"/>
      <c r="K182" s="25"/>
      <c r="L182" s="25"/>
      <c r="M182" s="25"/>
      <c r="N182" s="25"/>
      <c r="O182" s="25"/>
      <c r="P182" s="25"/>
      <c r="Q182" s="25"/>
      <c r="R182" s="25"/>
      <c r="S182" s="25"/>
    </row>
    <row r="183" spans="1:19" x14ac:dyDescent="0.2">
      <c r="A183" s="488">
        <v>132</v>
      </c>
      <c r="B183" s="487" t="s">
        <v>1317</v>
      </c>
      <c r="C183" s="501">
        <v>8.84</v>
      </c>
      <c r="D183" s="501">
        <v>10.47</v>
      </c>
      <c r="E183" s="501">
        <v>5.81</v>
      </c>
      <c r="F183" s="501">
        <v>0.51</v>
      </c>
      <c r="G183" s="501">
        <v>0.3</v>
      </c>
      <c r="H183" s="25"/>
      <c r="I183" s="25"/>
      <c r="J183" s="25"/>
      <c r="K183" s="25"/>
      <c r="L183" s="25"/>
      <c r="M183" s="25"/>
      <c r="N183" s="25"/>
      <c r="O183" s="25"/>
      <c r="P183" s="25"/>
      <c r="Q183" s="25"/>
      <c r="R183" s="25"/>
      <c r="S183" s="25"/>
    </row>
    <row r="184" spans="1:19" x14ac:dyDescent="0.2">
      <c r="A184" s="488">
        <v>133</v>
      </c>
      <c r="B184" s="487" t="s">
        <v>1318</v>
      </c>
      <c r="C184" s="501">
        <v>7.61</v>
      </c>
      <c r="D184" s="501">
        <v>10.33</v>
      </c>
      <c r="E184" s="501">
        <v>5.77</v>
      </c>
      <c r="F184" s="501">
        <v>0.44</v>
      </c>
      <c r="G184" s="501">
        <v>0.26</v>
      </c>
      <c r="H184" s="25"/>
      <c r="I184" s="25"/>
      <c r="J184" s="25"/>
      <c r="K184" s="25"/>
      <c r="L184" s="25"/>
      <c r="M184" s="25"/>
      <c r="N184" s="25"/>
      <c r="O184" s="25"/>
      <c r="P184" s="25"/>
      <c r="Q184" s="25"/>
      <c r="R184" s="25"/>
      <c r="S184" s="25"/>
    </row>
    <row r="185" spans="1:19" x14ac:dyDescent="0.2">
      <c r="A185" s="488">
        <v>134</v>
      </c>
      <c r="B185" s="487" t="s">
        <v>1319</v>
      </c>
      <c r="C185" s="501">
        <v>6.49</v>
      </c>
      <c r="D185" s="501">
        <v>10.17</v>
      </c>
      <c r="E185" s="501">
        <v>5.75</v>
      </c>
      <c r="F185" s="501">
        <v>0.36</v>
      </c>
      <c r="G185" s="501">
        <v>0.24</v>
      </c>
      <c r="H185" s="25"/>
      <c r="I185" s="25"/>
      <c r="J185" s="25"/>
      <c r="K185" s="25"/>
      <c r="L185" s="25"/>
      <c r="M185" s="25"/>
      <c r="N185" s="25"/>
      <c r="O185" s="25"/>
      <c r="P185" s="25"/>
      <c r="Q185" s="25"/>
      <c r="R185" s="25"/>
      <c r="S185" s="25"/>
    </row>
    <row r="186" spans="1:19" x14ac:dyDescent="0.2">
      <c r="A186" s="488">
        <v>135</v>
      </c>
      <c r="B186" s="487" t="s">
        <v>1320</v>
      </c>
      <c r="C186" s="501">
        <v>5.62</v>
      </c>
      <c r="D186" s="501">
        <v>10.24</v>
      </c>
      <c r="E186" s="501">
        <v>4.0199999999999996</v>
      </c>
      <c r="F186" s="501">
        <v>0.39500000000000002</v>
      </c>
      <c r="G186" s="501">
        <v>0.25</v>
      </c>
      <c r="H186" s="25"/>
      <c r="I186" s="25"/>
      <c r="J186" s="25"/>
      <c r="K186" s="25"/>
      <c r="L186" s="25"/>
      <c r="M186" s="25"/>
      <c r="N186" s="25"/>
      <c r="O186" s="25"/>
      <c r="P186" s="25"/>
      <c r="Q186" s="25"/>
      <c r="R186" s="25"/>
      <c r="S186" s="25"/>
    </row>
    <row r="187" spans="1:19" x14ac:dyDescent="0.2">
      <c r="A187" s="488">
        <v>136</v>
      </c>
      <c r="B187" s="487" t="s">
        <v>1321</v>
      </c>
      <c r="C187" s="501">
        <v>4.99</v>
      </c>
      <c r="D187" s="501">
        <v>10.11</v>
      </c>
      <c r="E187" s="501">
        <v>4.01</v>
      </c>
      <c r="F187" s="501">
        <v>0.33</v>
      </c>
      <c r="G187" s="501">
        <v>0.24</v>
      </c>
      <c r="H187" s="25"/>
      <c r="I187" s="25"/>
      <c r="J187" s="25"/>
      <c r="K187" s="25"/>
      <c r="L187" s="25"/>
      <c r="M187" s="25"/>
      <c r="N187" s="25"/>
      <c r="O187" s="25"/>
      <c r="P187" s="25"/>
      <c r="Q187" s="25"/>
      <c r="R187" s="25"/>
      <c r="S187" s="25"/>
    </row>
    <row r="188" spans="1:19" x14ac:dyDescent="0.2">
      <c r="A188" s="488">
        <v>137</v>
      </c>
      <c r="B188" s="487" t="s">
        <v>1322</v>
      </c>
      <c r="C188" s="501">
        <v>4.41</v>
      </c>
      <c r="D188" s="501">
        <v>9.99</v>
      </c>
      <c r="E188" s="501">
        <v>4</v>
      </c>
      <c r="F188" s="501">
        <v>0.27</v>
      </c>
      <c r="G188" s="501">
        <v>0.23</v>
      </c>
      <c r="H188" s="25"/>
      <c r="I188" s="25"/>
      <c r="J188" s="25"/>
      <c r="K188" s="25"/>
      <c r="L188" s="25"/>
      <c r="M188" s="25"/>
      <c r="N188" s="25"/>
      <c r="O188" s="25"/>
      <c r="P188" s="25"/>
      <c r="Q188" s="25"/>
      <c r="R188" s="25"/>
      <c r="S188" s="25"/>
    </row>
    <row r="189" spans="1:19" x14ac:dyDescent="0.2">
      <c r="A189" s="488">
        <v>138</v>
      </c>
      <c r="B189" s="487" t="s">
        <v>1323</v>
      </c>
      <c r="C189" s="501">
        <v>3.54</v>
      </c>
      <c r="D189" s="501">
        <v>9.8699999999999992</v>
      </c>
      <c r="E189" s="501">
        <v>3.96</v>
      </c>
      <c r="F189" s="501">
        <v>0.21</v>
      </c>
      <c r="G189" s="501">
        <v>0.19</v>
      </c>
      <c r="H189" s="25"/>
      <c r="I189" s="25"/>
      <c r="J189" s="25"/>
      <c r="K189" s="25"/>
      <c r="L189" s="25"/>
      <c r="M189" s="25"/>
      <c r="N189" s="25"/>
      <c r="O189" s="25"/>
      <c r="P189" s="25"/>
      <c r="Q189" s="25"/>
      <c r="R189" s="25"/>
      <c r="S189" s="25"/>
    </row>
    <row r="190" spans="1:19" x14ac:dyDescent="0.2">
      <c r="A190" s="488">
        <v>139</v>
      </c>
      <c r="B190" s="487" t="s">
        <v>1324</v>
      </c>
      <c r="C190" s="501">
        <v>19.7</v>
      </c>
      <c r="D190" s="501">
        <v>9</v>
      </c>
      <c r="E190" s="501">
        <v>8.2799999999999994</v>
      </c>
      <c r="F190" s="501">
        <v>0.93500000000000005</v>
      </c>
      <c r="G190" s="501">
        <v>0.56999999999999995</v>
      </c>
      <c r="H190" s="25"/>
      <c r="I190" s="25"/>
      <c r="J190" s="25"/>
      <c r="K190" s="25"/>
      <c r="L190" s="25"/>
      <c r="M190" s="25"/>
      <c r="N190" s="25"/>
      <c r="O190" s="25"/>
      <c r="P190" s="25"/>
      <c r="Q190" s="25"/>
      <c r="R190" s="25"/>
      <c r="S190" s="25"/>
    </row>
    <row r="191" spans="1:19" x14ac:dyDescent="0.2">
      <c r="A191" s="488">
        <v>140</v>
      </c>
      <c r="B191" s="487" t="s">
        <v>1325</v>
      </c>
      <c r="C191" s="501">
        <v>17.100000000000001</v>
      </c>
      <c r="D191" s="501">
        <v>8.75</v>
      </c>
      <c r="E191" s="501">
        <v>8.2200000000000006</v>
      </c>
      <c r="F191" s="501">
        <v>0.81</v>
      </c>
      <c r="G191" s="501">
        <v>0.51</v>
      </c>
      <c r="H191" s="25"/>
      <c r="I191" s="25"/>
      <c r="J191" s="25"/>
      <c r="K191" s="25"/>
      <c r="L191" s="25"/>
      <c r="M191" s="25"/>
      <c r="N191" s="25"/>
      <c r="O191" s="25"/>
      <c r="P191" s="25"/>
      <c r="Q191" s="25"/>
      <c r="R191" s="25"/>
      <c r="S191" s="25"/>
    </row>
    <row r="192" spans="1:19" x14ac:dyDescent="0.2">
      <c r="A192" s="488">
        <v>141</v>
      </c>
      <c r="B192" s="487" t="s">
        <v>1326</v>
      </c>
      <c r="C192" s="501">
        <v>14.1</v>
      </c>
      <c r="D192" s="501">
        <v>8.5</v>
      </c>
      <c r="E192" s="501">
        <v>8.11</v>
      </c>
      <c r="F192" s="501">
        <v>0.68500000000000005</v>
      </c>
      <c r="G192" s="501">
        <v>0.4</v>
      </c>
      <c r="H192" s="25"/>
      <c r="I192" s="25"/>
      <c r="J192" s="25"/>
      <c r="K192" s="25"/>
      <c r="L192" s="25"/>
      <c r="M192" s="25"/>
      <c r="N192" s="25"/>
      <c r="O192" s="25"/>
      <c r="P192" s="25"/>
      <c r="Q192" s="25"/>
      <c r="R192" s="25"/>
      <c r="S192" s="25"/>
    </row>
    <row r="193" spans="1:19" x14ac:dyDescent="0.2">
      <c r="A193" s="488">
        <v>142</v>
      </c>
      <c r="B193" s="487" t="s">
        <v>1327</v>
      </c>
      <c r="C193" s="501">
        <v>11.7</v>
      </c>
      <c r="D193" s="501">
        <v>8.25</v>
      </c>
      <c r="E193" s="501">
        <v>8.07</v>
      </c>
      <c r="F193" s="501">
        <v>0.56000000000000005</v>
      </c>
      <c r="G193" s="501">
        <v>0.36</v>
      </c>
      <c r="H193" s="25"/>
      <c r="I193" s="25"/>
      <c r="J193" s="25"/>
      <c r="K193" s="25"/>
      <c r="L193" s="25"/>
      <c r="M193" s="25"/>
      <c r="N193" s="25"/>
      <c r="O193" s="25"/>
      <c r="P193" s="25"/>
      <c r="Q193" s="25"/>
      <c r="R193" s="25"/>
      <c r="S193" s="25"/>
    </row>
    <row r="194" spans="1:19" x14ac:dyDescent="0.2">
      <c r="A194" s="488">
        <v>143</v>
      </c>
      <c r="B194" s="487" t="s">
        <v>1328</v>
      </c>
      <c r="C194" s="501">
        <v>10.3</v>
      </c>
      <c r="D194" s="501">
        <v>8.1199999999999992</v>
      </c>
      <c r="E194" s="501">
        <v>8.02</v>
      </c>
      <c r="F194" s="501">
        <v>0.495</v>
      </c>
      <c r="G194" s="501">
        <v>0.31</v>
      </c>
      <c r="H194" s="25"/>
      <c r="I194" s="25"/>
      <c r="J194" s="25"/>
      <c r="K194" s="25"/>
      <c r="L194" s="25"/>
      <c r="M194" s="25"/>
      <c r="N194" s="25"/>
      <c r="O194" s="25"/>
      <c r="P194" s="25"/>
      <c r="Q194" s="25"/>
      <c r="R194" s="25"/>
      <c r="S194" s="25"/>
    </row>
    <row r="195" spans="1:19" x14ac:dyDescent="0.2">
      <c r="A195" s="488">
        <v>144</v>
      </c>
      <c r="B195" s="487" t="s">
        <v>1329</v>
      </c>
      <c r="C195" s="501">
        <v>9.1300000000000008</v>
      </c>
      <c r="D195" s="501">
        <v>8</v>
      </c>
      <c r="E195" s="501">
        <v>7.9950000000000001</v>
      </c>
      <c r="F195" s="501">
        <v>0.435</v>
      </c>
      <c r="G195" s="501">
        <v>0.28499999999999998</v>
      </c>
      <c r="H195" s="25"/>
      <c r="I195" s="25"/>
      <c r="J195" s="25"/>
      <c r="K195" s="25"/>
      <c r="L195" s="25"/>
      <c r="M195" s="25"/>
      <c r="N195" s="25"/>
      <c r="O195" s="25"/>
      <c r="P195" s="25"/>
      <c r="Q195" s="25"/>
      <c r="R195" s="25"/>
      <c r="S195" s="25"/>
    </row>
    <row r="196" spans="1:19" x14ac:dyDescent="0.2">
      <c r="A196" s="488">
        <v>145</v>
      </c>
      <c r="B196" s="487" t="s">
        <v>1330</v>
      </c>
      <c r="C196" s="501">
        <v>8.25</v>
      </c>
      <c r="D196" s="501">
        <v>8.06</v>
      </c>
      <c r="E196" s="501">
        <v>6.5350000000000001</v>
      </c>
      <c r="F196" s="501">
        <v>0.46500000000000002</v>
      </c>
      <c r="G196" s="501">
        <v>0.28499999999999998</v>
      </c>
      <c r="H196" s="25"/>
      <c r="I196" s="25"/>
      <c r="J196" s="25"/>
      <c r="K196" s="25"/>
      <c r="L196" s="25"/>
      <c r="M196" s="25"/>
      <c r="N196" s="25"/>
      <c r="O196" s="25"/>
      <c r="P196" s="25"/>
      <c r="Q196" s="25"/>
      <c r="R196" s="25"/>
      <c r="S196" s="25"/>
    </row>
    <row r="197" spans="1:19" x14ac:dyDescent="0.2">
      <c r="A197" s="488">
        <v>146</v>
      </c>
      <c r="B197" s="487" t="s">
        <v>1331</v>
      </c>
      <c r="C197" s="501">
        <v>7.08</v>
      </c>
      <c r="D197" s="501">
        <v>7.93</v>
      </c>
      <c r="E197" s="501">
        <v>6.4950000000000001</v>
      </c>
      <c r="F197" s="501">
        <v>0.4</v>
      </c>
      <c r="G197" s="501">
        <v>0.245</v>
      </c>
      <c r="H197" s="25"/>
      <c r="I197" s="25"/>
      <c r="J197" s="25"/>
      <c r="K197" s="25"/>
      <c r="L197" s="25"/>
      <c r="M197" s="25"/>
      <c r="N197" s="25"/>
      <c r="O197" s="25"/>
      <c r="P197" s="25"/>
      <c r="Q197" s="25"/>
      <c r="R197" s="25"/>
      <c r="S197" s="25"/>
    </row>
    <row r="198" spans="1:19" x14ac:dyDescent="0.2">
      <c r="A198" s="488">
        <v>147</v>
      </c>
      <c r="B198" s="487" t="s">
        <v>1332</v>
      </c>
      <c r="C198" s="501">
        <v>6.16</v>
      </c>
      <c r="D198" s="501">
        <v>8.2799999999999994</v>
      </c>
      <c r="E198" s="501">
        <v>5.27</v>
      </c>
      <c r="F198" s="501">
        <v>0.4</v>
      </c>
      <c r="G198" s="501">
        <v>0.25</v>
      </c>
      <c r="H198" s="25"/>
      <c r="I198" s="25"/>
      <c r="J198" s="25"/>
      <c r="K198" s="25"/>
      <c r="L198" s="25"/>
      <c r="M198" s="25"/>
      <c r="N198" s="25"/>
      <c r="O198" s="25"/>
      <c r="P198" s="25"/>
      <c r="Q198" s="25"/>
      <c r="R198" s="25"/>
      <c r="S198" s="25"/>
    </row>
    <row r="199" spans="1:19" x14ac:dyDescent="0.2">
      <c r="A199" s="488">
        <v>148</v>
      </c>
      <c r="B199" s="487" t="s">
        <v>1333</v>
      </c>
      <c r="C199" s="501">
        <v>5.26</v>
      </c>
      <c r="D199" s="501">
        <v>8.14</v>
      </c>
      <c r="E199" s="501">
        <v>5.25</v>
      </c>
      <c r="F199" s="501">
        <v>0.33</v>
      </c>
      <c r="G199" s="501">
        <v>0.23</v>
      </c>
      <c r="H199" s="25"/>
      <c r="I199" s="25"/>
      <c r="J199" s="25"/>
      <c r="K199" s="25"/>
      <c r="L199" s="25"/>
      <c r="M199" s="25"/>
      <c r="N199" s="25"/>
      <c r="O199" s="25"/>
      <c r="P199" s="25"/>
      <c r="Q199" s="25"/>
      <c r="R199" s="25"/>
      <c r="S199" s="25"/>
    </row>
    <row r="200" spans="1:19" x14ac:dyDescent="0.2">
      <c r="A200" s="488">
        <v>149</v>
      </c>
      <c r="B200" s="487" t="s">
        <v>1334</v>
      </c>
      <c r="C200" s="501">
        <v>4.4400000000000004</v>
      </c>
      <c r="D200" s="501">
        <v>8.11</v>
      </c>
      <c r="E200" s="501">
        <v>4.0149999999999997</v>
      </c>
      <c r="F200" s="501">
        <v>0.315</v>
      </c>
      <c r="G200" s="501">
        <v>0.245</v>
      </c>
      <c r="H200" s="25"/>
      <c r="I200" s="25"/>
      <c r="J200" s="25"/>
      <c r="K200" s="25"/>
      <c r="L200" s="25"/>
      <c r="M200" s="25"/>
      <c r="N200" s="25"/>
      <c r="O200" s="25"/>
      <c r="P200" s="25"/>
      <c r="Q200" s="25"/>
      <c r="R200" s="25"/>
      <c r="S200" s="25"/>
    </row>
    <row r="201" spans="1:19" x14ac:dyDescent="0.2">
      <c r="A201" s="488">
        <v>150</v>
      </c>
      <c r="B201" s="487" t="s">
        <v>1335</v>
      </c>
      <c r="C201" s="501">
        <v>3.84</v>
      </c>
      <c r="D201" s="501">
        <v>7.99</v>
      </c>
      <c r="E201" s="501">
        <v>4</v>
      </c>
      <c r="F201" s="501">
        <v>0.255</v>
      </c>
      <c r="G201" s="501">
        <v>0.23</v>
      </c>
      <c r="H201" s="25"/>
      <c r="I201" s="25"/>
      <c r="J201" s="25"/>
      <c r="K201" s="25"/>
      <c r="L201" s="25"/>
      <c r="M201" s="25"/>
      <c r="N201" s="25"/>
      <c r="O201" s="25"/>
      <c r="P201" s="25"/>
      <c r="Q201" s="25"/>
      <c r="R201" s="25"/>
      <c r="S201" s="25"/>
    </row>
    <row r="202" spans="1:19" x14ac:dyDescent="0.2">
      <c r="A202" s="488">
        <v>151</v>
      </c>
      <c r="B202" s="487" t="s">
        <v>1336</v>
      </c>
      <c r="C202" s="501">
        <v>2.96</v>
      </c>
      <c r="D202" s="501">
        <v>7.89</v>
      </c>
      <c r="E202" s="501">
        <v>3.94</v>
      </c>
      <c r="F202" s="501">
        <v>0.20499999999999999</v>
      </c>
      <c r="G202" s="501">
        <v>0.17</v>
      </c>
      <c r="H202" s="25"/>
      <c r="I202" s="25"/>
      <c r="J202" s="25"/>
      <c r="K202" s="25"/>
      <c r="L202" s="25"/>
      <c r="M202" s="25"/>
      <c r="N202" s="25"/>
      <c r="O202" s="25"/>
      <c r="P202" s="25"/>
      <c r="Q202" s="25"/>
      <c r="R202" s="25"/>
      <c r="S202" s="25"/>
    </row>
    <row r="203" spans="1:19" x14ac:dyDescent="0.2">
      <c r="A203" s="488">
        <v>152</v>
      </c>
      <c r="B203" s="487" t="s">
        <v>1337</v>
      </c>
      <c r="C203" s="501">
        <v>7.34</v>
      </c>
      <c r="D203" s="501">
        <v>6.38</v>
      </c>
      <c r="E203" s="501">
        <v>6.08</v>
      </c>
      <c r="F203" s="501">
        <v>0.45500000000000002</v>
      </c>
      <c r="G203" s="501">
        <v>0.32</v>
      </c>
      <c r="H203" s="25"/>
      <c r="I203" s="25"/>
      <c r="J203" s="25"/>
      <c r="K203" s="25"/>
      <c r="L203" s="25"/>
      <c r="M203" s="25"/>
      <c r="N203" s="25"/>
      <c r="O203" s="25"/>
      <c r="P203" s="25"/>
      <c r="Q203" s="25"/>
      <c r="R203" s="25"/>
      <c r="S203" s="25"/>
    </row>
    <row r="204" spans="1:19" x14ac:dyDescent="0.2">
      <c r="A204" s="488">
        <v>153</v>
      </c>
      <c r="B204" s="487" t="s">
        <v>1338</v>
      </c>
      <c r="C204" s="501">
        <v>5.87</v>
      </c>
      <c r="D204" s="501">
        <v>6.2</v>
      </c>
      <c r="E204" s="501">
        <v>6.02</v>
      </c>
      <c r="F204" s="501">
        <v>0.36499999999999999</v>
      </c>
      <c r="G204" s="501">
        <v>0.26</v>
      </c>
      <c r="H204" s="25"/>
      <c r="I204" s="25"/>
      <c r="J204" s="25"/>
      <c r="K204" s="25"/>
      <c r="L204" s="25"/>
      <c r="M204" s="25"/>
      <c r="N204" s="25"/>
      <c r="O204" s="25"/>
      <c r="P204" s="25"/>
      <c r="Q204" s="25"/>
      <c r="R204" s="25"/>
      <c r="S204" s="25"/>
    </row>
    <row r="205" spans="1:19" x14ac:dyDescent="0.2">
      <c r="A205" s="488">
        <v>154</v>
      </c>
      <c r="B205" s="487" t="s">
        <v>1339</v>
      </c>
      <c r="C205" s="501">
        <v>4.74</v>
      </c>
      <c r="D205" s="501">
        <v>6.28</v>
      </c>
      <c r="E205" s="501">
        <v>4.03</v>
      </c>
      <c r="F205" s="501">
        <v>0.40500000000000003</v>
      </c>
      <c r="G205" s="501">
        <v>0.26</v>
      </c>
      <c r="H205" s="25"/>
      <c r="I205" s="25"/>
      <c r="J205" s="25"/>
      <c r="K205" s="25"/>
      <c r="L205" s="25"/>
      <c r="M205" s="25"/>
      <c r="N205" s="25"/>
      <c r="O205" s="25"/>
      <c r="P205" s="25"/>
      <c r="Q205" s="25"/>
      <c r="R205" s="25"/>
      <c r="S205" s="25"/>
    </row>
    <row r="206" spans="1:19" x14ac:dyDescent="0.2">
      <c r="A206" s="488">
        <v>155</v>
      </c>
      <c r="B206" s="487" t="s">
        <v>1340</v>
      </c>
      <c r="C206" s="501">
        <v>4.43</v>
      </c>
      <c r="D206" s="501">
        <v>5.99</v>
      </c>
      <c r="E206" s="501">
        <v>5.99</v>
      </c>
      <c r="F206" s="501">
        <v>0.26</v>
      </c>
      <c r="G206" s="501">
        <v>0.23</v>
      </c>
      <c r="H206" s="25"/>
      <c r="I206" s="25"/>
      <c r="J206" s="25"/>
      <c r="K206" s="25"/>
      <c r="L206" s="25"/>
      <c r="M206" s="25"/>
      <c r="N206" s="25"/>
      <c r="O206" s="25"/>
      <c r="P206" s="25"/>
      <c r="Q206" s="25"/>
      <c r="R206" s="25"/>
      <c r="S206" s="25"/>
    </row>
    <row r="207" spans="1:19" x14ac:dyDescent="0.2">
      <c r="A207" s="488">
        <v>156</v>
      </c>
      <c r="B207" s="487" t="s">
        <v>1341</v>
      </c>
      <c r="C207" s="501">
        <v>3.55</v>
      </c>
      <c r="D207" s="501">
        <v>6.03</v>
      </c>
      <c r="E207" s="501">
        <v>4</v>
      </c>
      <c r="F207" s="501">
        <v>0.28000000000000003</v>
      </c>
      <c r="G207" s="501">
        <v>0.23</v>
      </c>
      <c r="H207" s="25"/>
      <c r="I207" s="25"/>
      <c r="J207" s="25"/>
      <c r="K207" s="25"/>
      <c r="L207" s="25"/>
      <c r="M207" s="25"/>
      <c r="N207" s="25"/>
      <c r="O207" s="25"/>
      <c r="P207" s="25"/>
      <c r="Q207" s="25"/>
      <c r="R207" s="25"/>
      <c r="S207" s="25"/>
    </row>
    <row r="208" spans="1:19" x14ac:dyDescent="0.2">
      <c r="A208" s="488">
        <v>157</v>
      </c>
      <c r="B208" s="487" t="s">
        <v>1342</v>
      </c>
      <c r="C208" s="501">
        <v>2.68</v>
      </c>
      <c r="D208" s="501">
        <v>5.9</v>
      </c>
      <c r="E208" s="501">
        <v>3.94</v>
      </c>
      <c r="F208" s="501">
        <v>0.215</v>
      </c>
      <c r="G208" s="501">
        <v>0.17</v>
      </c>
      <c r="H208" s="25"/>
      <c r="I208" s="25"/>
      <c r="J208" s="25"/>
      <c r="K208" s="25"/>
      <c r="L208" s="25"/>
      <c r="M208" s="25"/>
      <c r="N208" s="25"/>
      <c r="O208" s="25"/>
      <c r="P208" s="25"/>
      <c r="Q208" s="25"/>
      <c r="R208" s="25"/>
      <c r="S208" s="25"/>
    </row>
    <row r="209" spans="1:19" x14ac:dyDescent="0.2">
      <c r="A209" s="488">
        <v>158</v>
      </c>
      <c r="B209" s="487" t="s">
        <v>1343</v>
      </c>
      <c r="C209" s="501">
        <v>5.54</v>
      </c>
      <c r="D209" s="501">
        <v>5.15</v>
      </c>
      <c r="E209" s="501">
        <v>5.03</v>
      </c>
      <c r="F209" s="501">
        <v>0.43</v>
      </c>
      <c r="G209" s="501">
        <v>0.27</v>
      </c>
      <c r="H209" s="25"/>
      <c r="I209" s="25"/>
      <c r="J209" s="25"/>
      <c r="K209" s="25"/>
      <c r="L209" s="25"/>
      <c r="M209" s="25"/>
      <c r="N209" s="25"/>
      <c r="O209" s="25"/>
      <c r="P209" s="25"/>
      <c r="Q209" s="25"/>
      <c r="R209" s="25"/>
      <c r="S209" s="25"/>
    </row>
    <row r="210" spans="1:19" x14ac:dyDescent="0.2">
      <c r="A210" s="488">
        <v>159</v>
      </c>
      <c r="B210" s="487" t="s">
        <v>1344</v>
      </c>
      <c r="C210" s="501">
        <v>4.68</v>
      </c>
      <c r="D210" s="501">
        <v>5.01</v>
      </c>
      <c r="E210" s="501">
        <v>5</v>
      </c>
      <c r="F210" s="501">
        <v>0.36</v>
      </c>
      <c r="G210" s="501">
        <v>0.24</v>
      </c>
      <c r="H210" s="25"/>
      <c r="I210" s="25"/>
      <c r="J210" s="25"/>
      <c r="K210" s="25"/>
      <c r="L210" s="25"/>
      <c r="M210" s="25"/>
      <c r="N210" s="25"/>
      <c r="O210" s="25"/>
      <c r="P210" s="25"/>
      <c r="Q210" s="25"/>
      <c r="R210" s="25"/>
      <c r="S210" s="25"/>
    </row>
    <row r="211" spans="1:19" x14ac:dyDescent="0.2">
      <c r="A211" s="488">
        <v>160</v>
      </c>
      <c r="B211" s="487" t="s">
        <v>1345</v>
      </c>
      <c r="C211" s="501">
        <v>3.83</v>
      </c>
      <c r="D211" s="501">
        <v>4.16</v>
      </c>
      <c r="E211" s="501">
        <v>4.0599999999999996</v>
      </c>
      <c r="F211" s="501">
        <v>0.34499999999999997</v>
      </c>
      <c r="G211" s="501">
        <v>0.28000000000000003</v>
      </c>
      <c r="H211" s="25"/>
      <c r="I211" s="25"/>
      <c r="J211" s="25"/>
      <c r="K211" s="25"/>
      <c r="L211" s="25"/>
      <c r="M211" s="25"/>
      <c r="N211" s="25"/>
      <c r="O211" s="25"/>
      <c r="P211" s="25"/>
      <c r="Q211" s="25"/>
      <c r="R211" s="25"/>
      <c r="S211" s="25"/>
    </row>
    <row r="212" spans="1:19" x14ac:dyDescent="0.2">
      <c r="R212" s="25"/>
      <c r="S212" s="25"/>
    </row>
  </sheetData>
  <sheetProtection password="D809" sheet="1" objects="1" scenarios="1" selectLockedCells="1"/>
  <mergeCells count="5">
    <mergeCell ref="B50:B51"/>
    <mergeCell ref="B3:D3"/>
    <mergeCell ref="A19:C19"/>
    <mergeCell ref="A20:C20"/>
    <mergeCell ref="A21:C21"/>
  </mergeCells>
  <phoneticPr fontId="15" type="noConversion"/>
  <conditionalFormatting sqref="C12:C13">
    <cfRule type="expression" dxfId="125" priority="1" stopIfTrue="1">
      <formula>(MASTERSWITCH=1)</formula>
    </cfRule>
  </conditionalFormatting>
  <conditionalFormatting sqref="A19:C21">
    <cfRule type="expression" dxfId="124" priority="2" stopIfTrue="1">
      <formula>(MASTERSWITCH=1)</formula>
    </cfRule>
  </conditionalFormatting>
  <printOptions horizontalCentered="1"/>
  <pageMargins left="0.75" right="0.75" top="1.75" bottom="1.5" header="0.5" footer="0.5"/>
  <pageSetup scale="74" orientation="portrait" horizontalDpi="0" verticalDpi="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1442" r:id="rId5" name="Drop Down 2">
              <controlPr locked="0" defaultSize="0" autoLine="0" autoPict="0">
                <anchor moveWithCells="1">
                  <from>
                    <xdr:col>2</xdr:col>
                    <xdr:colOff>19050</xdr:colOff>
                    <xdr:row>6</xdr:row>
                    <xdr:rowOff>190500</xdr:rowOff>
                  </from>
                  <to>
                    <xdr:col>3</xdr:col>
                    <xdr:colOff>342900</xdr:colOff>
                    <xdr:row>8</xdr:row>
                    <xdr:rowOff>28575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pageSetUpPr fitToPage="1"/>
  </sheetPr>
  <dimension ref="A1:R80"/>
  <sheetViews>
    <sheetView showRowColHeaders="0" workbookViewId="0">
      <selection activeCell="C13" sqref="C13"/>
    </sheetView>
  </sheetViews>
  <sheetFormatPr defaultRowHeight="12.75" x14ac:dyDescent="0.2"/>
  <cols>
    <col min="1" max="1" width="11" customWidth="1"/>
    <col min="2" max="2" width="22.7109375" customWidth="1"/>
    <col min="3" max="3" width="9.85546875" customWidth="1"/>
    <col min="7" max="7" width="11.85546875" customWidth="1"/>
    <col min="9" max="9" width="7.5703125" customWidth="1"/>
  </cols>
  <sheetData>
    <row r="1" spans="1:18" x14ac:dyDescent="0.2">
      <c r="B1" s="25"/>
      <c r="C1" s="25"/>
      <c r="D1" s="25"/>
      <c r="E1" s="25"/>
      <c r="F1" s="25"/>
      <c r="G1" s="25"/>
      <c r="H1" s="25"/>
      <c r="I1" s="25"/>
      <c r="J1" s="25"/>
      <c r="K1" s="25"/>
      <c r="L1" s="25"/>
      <c r="M1" s="25"/>
      <c r="N1" s="25"/>
      <c r="O1" s="25"/>
      <c r="P1" s="25"/>
      <c r="Q1" s="25"/>
      <c r="R1" s="25"/>
    </row>
    <row r="2" spans="1:18" x14ac:dyDescent="0.2">
      <c r="A2" s="26"/>
      <c r="B2" s="25"/>
      <c r="C2" s="25"/>
      <c r="D2" s="25"/>
      <c r="E2" s="25"/>
      <c r="F2" s="25"/>
      <c r="G2" s="25"/>
      <c r="H2" s="25"/>
      <c r="I2" s="25"/>
      <c r="J2" s="25"/>
      <c r="K2" s="25"/>
      <c r="L2" s="25"/>
      <c r="M2" s="25"/>
      <c r="N2" s="25"/>
      <c r="O2" s="25"/>
      <c r="P2" s="25"/>
      <c r="Q2" s="25"/>
      <c r="R2" s="25"/>
    </row>
    <row r="3" spans="1:18" ht="20.25" x14ac:dyDescent="0.3">
      <c r="A3" s="25"/>
      <c r="B3" s="902" t="s">
        <v>1346</v>
      </c>
      <c r="C3" s="902"/>
      <c r="D3" s="25"/>
      <c r="E3" s="25"/>
      <c r="F3" s="25"/>
      <c r="G3" s="25"/>
      <c r="H3" s="25"/>
      <c r="I3" s="25"/>
      <c r="J3" s="25"/>
      <c r="K3" s="25"/>
      <c r="L3" s="25"/>
      <c r="M3" s="25"/>
      <c r="N3" s="25"/>
      <c r="O3" s="25"/>
      <c r="P3" s="25"/>
      <c r="Q3" s="25"/>
      <c r="R3" s="25"/>
    </row>
    <row r="4" spans="1:18" x14ac:dyDescent="0.2">
      <c r="A4" s="25"/>
      <c r="B4" s="25"/>
      <c r="C4" s="25"/>
      <c r="D4" s="25"/>
      <c r="E4" s="25"/>
      <c r="F4" s="25"/>
      <c r="G4" s="25"/>
      <c r="H4" s="25"/>
      <c r="I4" s="25"/>
      <c r="J4" s="25"/>
      <c r="K4" s="25"/>
      <c r="L4" s="25"/>
      <c r="M4" s="25"/>
      <c r="N4" s="25"/>
      <c r="O4" s="25"/>
      <c r="P4" s="25"/>
      <c r="Q4" s="25"/>
      <c r="R4" s="25"/>
    </row>
    <row r="5" spans="1:18" x14ac:dyDescent="0.2">
      <c r="A5" s="25"/>
      <c r="B5" s="25"/>
      <c r="C5" s="494" t="s">
        <v>1169</v>
      </c>
      <c r="D5" s="568">
        <f>LOOKUP(C8,A52:A80,C52:C80)</f>
        <v>4.04</v>
      </c>
      <c r="E5" s="25"/>
      <c r="F5" s="25"/>
      <c r="G5" s="25"/>
      <c r="H5" s="25"/>
      <c r="I5" s="25"/>
      <c r="J5" s="25"/>
      <c r="K5" s="25"/>
      <c r="L5" s="25"/>
      <c r="M5" s="25"/>
      <c r="N5" s="25"/>
      <c r="O5" s="25"/>
      <c r="P5" s="25"/>
      <c r="Q5" s="25"/>
      <c r="R5" s="25"/>
    </row>
    <row r="6" spans="1:18" ht="21.75" x14ac:dyDescent="0.2">
      <c r="A6" s="25"/>
      <c r="B6" s="25"/>
      <c r="C6" s="494" t="s">
        <v>1543</v>
      </c>
      <c r="D6" s="569">
        <f>12*(D5*0.2836)</f>
        <v>13.748928000000001</v>
      </c>
      <c r="E6" s="25"/>
      <c r="F6" s="25"/>
      <c r="G6" s="25"/>
      <c r="H6" s="25"/>
      <c r="I6" s="25"/>
      <c r="J6" s="25"/>
      <c r="K6" s="25"/>
      <c r="L6" s="25"/>
      <c r="M6" s="25"/>
      <c r="N6" s="25"/>
      <c r="O6" s="25"/>
      <c r="P6" s="25"/>
      <c r="Q6" s="25"/>
      <c r="R6" s="25"/>
    </row>
    <row r="7" spans="1:18" ht="15.75" x14ac:dyDescent="0.25">
      <c r="A7" s="25"/>
      <c r="B7" s="25"/>
      <c r="C7" s="25"/>
      <c r="D7" s="25"/>
      <c r="E7" s="25"/>
      <c r="F7" s="499">
        <f>LOOKUP(C8,A52:A80,E52:E80)</f>
        <v>2.343</v>
      </c>
      <c r="G7" s="497" t="s">
        <v>1168</v>
      </c>
      <c r="I7" s="25"/>
      <c r="J7" s="25"/>
      <c r="K7" s="25"/>
      <c r="L7" s="25"/>
      <c r="M7" s="25"/>
      <c r="N7" s="25"/>
      <c r="O7" s="25"/>
      <c r="P7" s="25"/>
      <c r="Q7" s="25"/>
      <c r="R7" s="25"/>
    </row>
    <row r="8" spans="1:18" x14ac:dyDescent="0.2">
      <c r="A8" s="25"/>
      <c r="B8" s="42"/>
      <c r="C8" s="35">
        <v>15</v>
      </c>
      <c r="D8" s="25"/>
      <c r="E8" s="25"/>
      <c r="F8" s="25"/>
      <c r="G8" s="25"/>
      <c r="H8" s="25"/>
      <c r="I8" s="25"/>
      <c r="J8" s="25"/>
      <c r="K8" s="25"/>
      <c r="L8" s="25"/>
      <c r="M8" s="25"/>
      <c r="N8" s="25"/>
      <c r="O8" s="25"/>
      <c r="P8" s="25"/>
      <c r="Q8" s="25"/>
      <c r="R8" s="25"/>
    </row>
    <row r="9" spans="1:18" x14ac:dyDescent="0.2">
      <c r="A9" s="25"/>
      <c r="C9" s="25"/>
      <c r="D9" s="25"/>
      <c r="E9" s="25"/>
      <c r="F9" s="25"/>
      <c r="G9" s="25"/>
      <c r="H9" s="25"/>
      <c r="I9" s="25"/>
      <c r="J9" s="25"/>
      <c r="K9" s="25"/>
      <c r="L9" s="25"/>
      <c r="M9" s="25"/>
      <c r="N9" s="25"/>
      <c r="O9" s="25"/>
      <c r="P9" s="25"/>
      <c r="Q9" s="25"/>
      <c r="R9" s="25"/>
    </row>
    <row r="10" spans="1:18" x14ac:dyDescent="0.2">
      <c r="A10" s="25"/>
      <c r="B10" s="25"/>
      <c r="C10" s="25"/>
      <c r="D10" s="25"/>
      <c r="E10" s="25"/>
      <c r="F10" s="25"/>
      <c r="G10" s="25"/>
      <c r="H10" s="25"/>
      <c r="I10" s="25"/>
      <c r="J10" s="25"/>
      <c r="K10" s="25"/>
      <c r="L10" s="25"/>
      <c r="M10" s="25"/>
      <c r="N10" s="25"/>
      <c r="O10" s="25"/>
      <c r="P10" s="25"/>
      <c r="Q10" s="25"/>
      <c r="R10" s="25"/>
    </row>
    <row r="11" spans="1:18" x14ac:dyDescent="0.2">
      <c r="A11" s="25"/>
      <c r="B11" s="25"/>
      <c r="C11" s="25"/>
      <c r="D11" s="25"/>
      <c r="E11" s="25"/>
      <c r="F11" s="25"/>
      <c r="G11" s="25"/>
      <c r="H11" s="25"/>
      <c r="I11" s="25"/>
      <c r="J11" s="25"/>
      <c r="K11" s="25"/>
      <c r="L11" s="25"/>
      <c r="M11" s="25"/>
      <c r="N11" s="25"/>
      <c r="O11" s="25"/>
      <c r="P11" s="25"/>
      <c r="Q11" s="25"/>
      <c r="R11" s="25"/>
    </row>
    <row r="12" spans="1:18" ht="15.75" x14ac:dyDescent="0.25">
      <c r="A12" s="25"/>
      <c r="B12" s="422" t="s">
        <v>1171</v>
      </c>
      <c r="C12" s="518">
        <v>10</v>
      </c>
      <c r="E12" s="25"/>
      <c r="F12" s="25"/>
      <c r="G12" s="25"/>
      <c r="H12" s="498">
        <f>LOOKUP(C8,A52:A80,F52:F80)</f>
        <v>0.39</v>
      </c>
      <c r="I12" s="497" t="s">
        <v>1168</v>
      </c>
      <c r="J12" s="25"/>
      <c r="K12" s="25"/>
      <c r="L12" s="25"/>
      <c r="M12" s="25"/>
      <c r="N12" s="25"/>
      <c r="O12" s="25"/>
      <c r="P12" s="25"/>
      <c r="Q12" s="25"/>
      <c r="R12" s="25"/>
    </row>
    <row r="13" spans="1:18" ht="15.75" customHeight="1" x14ac:dyDescent="0.2">
      <c r="A13" s="25"/>
      <c r="B13" s="422" t="s">
        <v>1170</v>
      </c>
      <c r="C13" s="708">
        <v>0</v>
      </c>
      <c r="D13" s="25"/>
      <c r="E13" s="25"/>
      <c r="F13" s="25"/>
      <c r="G13" s="25"/>
      <c r="H13" s="25"/>
      <c r="I13" s="25"/>
      <c r="J13" s="25"/>
      <c r="K13" s="25"/>
      <c r="L13" s="25"/>
      <c r="M13" s="25"/>
      <c r="N13" s="25"/>
      <c r="O13" s="25"/>
      <c r="P13" s="25"/>
      <c r="Q13" s="25"/>
      <c r="R13" s="25"/>
    </row>
    <row r="14" spans="1:18" x14ac:dyDescent="0.2">
      <c r="A14" s="25"/>
      <c r="B14" s="42" t="s">
        <v>1172</v>
      </c>
      <c r="C14" s="537">
        <f>(C12*12)+C13</f>
        <v>120</v>
      </c>
      <c r="E14" s="25"/>
      <c r="F14" s="25"/>
      <c r="G14" s="25"/>
      <c r="H14" s="25"/>
      <c r="I14" s="25"/>
      <c r="J14" s="25"/>
      <c r="K14" s="25"/>
      <c r="L14" s="25"/>
      <c r="M14" s="25"/>
      <c r="N14" s="25"/>
      <c r="O14" s="25"/>
      <c r="P14" s="25"/>
      <c r="Q14" s="25"/>
      <c r="R14" s="25"/>
    </row>
    <row r="15" spans="1:18" x14ac:dyDescent="0.2">
      <c r="A15" s="25"/>
      <c r="B15" s="25"/>
      <c r="C15" s="25"/>
      <c r="D15" s="25"/>
      <c r="E15" s="25"/>
      <c r="F15" s="25"/>
      <c r="G15" s="25"/>
      <c r="H15" s="25"/>
      <c r="I15" s="25"/>
      <c r="J15" s="25"/>
      <c r="K15" s="25"/>
      <c r="L15" s="25"/>
      <c r="M15" s="25"/>
      <c r="N15" s="25"/>
      <c r="O15" s="25"/>
      <c r="P15" s="25"/>
      <c r="Q15" s="25"/>
      <c r="R15" s="25"/>
    </row>
    <row r="16" spans="1:18" ht="15.75" x14ac:dyDescent="0.25">
      <c r="A16" s="25"/>
      <c r="B16" s="42" t="s">
        <v>1173</v>
      </c>
      <c r="C16" s="565">
        <f>C14*(D5*0.2836)</f>
        <v>137.48928000000001</v>
      </c>
      <c r="D16" s="60" t="s">
        <v>2014</v>
      </c>
      <c r="E16" s="25"/>
      <c r="F16" s="25"/>
      <c r="G16" s="25"/>
      <c r="H16" s="25"/>
      <c r="I16" s="25"/>
      <c r="J16" s="25"/>
      <c r="K16" s="25"/>
      <c r="L16" s="25"/>
      <c r="M16" s="25"/>
      <c r="N16" s="25"/>
      <c r="O16" s="25"/>
      <c r="P16" s="25"/>
      <c r="Q16" s="25"/>
      <c r="R16" s="25"/>
    </row>
    <row r="17" spans="1:18" x14ac:dyDescent="0.2">
      <c r="A17" s="25"/>
      <c r="B17" s="42" t="s">
        <v>1173</v>
      </c>
      <c r="C17" s="566">
        <f>C16/2000</f>
        <v>6.874464000000001E-2</v>
      </c>
      <c r="D17" s="60" t="s">
        <v>1174</v>
      </c>
      <c r="E17" s="25"/>
      <c r="F17" s="25"/>
      <c r="G17" s="25"/>
      <c r="H17" s="25"/>
      <c r="I17" s="25"/>
      <c r="J17" s="25"/>
      <c r="K17" s="25"/>
      <c r="L17" s="25"/>
      <c r="M17" s="25"/>
      <c r="N17" s="25"/>
      <c r="O17" s="25"/>
      <c r="P17" s="25"/>
      <c r="Q17" s="25"/>
      <c r="R17" s="25"/>
    </row>
    <row r="18" spans="1:18" x14ac:dyDescent="0.2">
      <c r="A18" s="25"/>
      <c r="B18" s="25"/>
      <c r="C18" s="25"/>
      <c r="D18" s="25"/>
      <c r="E18" s="25"/>
      <c r="F18" s="25"/>
      <c r="G18" s="25"/>
      <c r="H18" s="25"/>
      <c r="I18" s="25"/>
      <c r="J18" s="25"/>
      <c r="K18" s="25"/>
      <c r="L18" s="25"/>
      <c r="M18" s="25"/>
      <c r="N18" s="25"/>
      <c r="O18" s="25"/>
      <c r="P18" s="25"/>
      <c r="Q18" s="25"/>
      <c r="R18" s="25"/>
    </row>
    <row r="19" spans="1:18" ht="15.75" x14ac:dyDescent="0.25">
      <c r="A19" s="898" t="str">
        <f>IF(MASTERSWITCH=1,"EVALUATION PERIOD EXPIRED!","")</f>
        <v/>
      </c>
      <c r="B19" s="898"/>
      <c r="C19" s="898"/>
      <c r="D19" s="495">
        <f>LOOKUP(C8,A52:A80,D52:D80)</f>
        <v>8</v>
      </c>
      <c r="E19" s="25"/>
      <c r="F19" s="25"/>
      <c r="G19" s="25"/>
      <c r="H19" s="25"/>
      <c r="I19" s="25"/>
      <c r="J19" s="25"/>
      <c r="K19" s="25"/>
      <c r="L19" s="25"/>
      <c r="M19" s="25"/>
      <c r="N19" s="25"/>
      <c r="O19" s="25"/>
      <c r="P19" s="25"/>
      <c r="Q19" s="25"/>
      <c r="R19" s="25"/>
    </row>
    <row r="20" spans="1:18" x14ac:dyDescent="0.2">
      <c r="A20" s="898" t="str">
        <f>IF(MASTERSWITCH=1,"PLEASE PURCHASE LICENSE TO","")</f>
        <v/>
      </c>
      <c r="B20" s="898"/>
      <c r="C20" s="898"/>
      <c r="D20" s="496" t="s">
        <v>1168</v>
      </c>
      <c r="E20" s="25"/>
      <c r="F20" s="25"/>
      <c r="G20" s="25"/>
      <c r="H20" s="25"/>
      <c r="J20" s="25"/>
      <c r="K20" s="25"/>
      <c r="L20" s="25"/>
      <c r="M20" s="25"/>
      <c r="N20" s="25"/>
      <c r="O20" s="25"/>
      <c r="P20" s="25"/>
      <c r="Q20" s="25"/>
      <c r="R20" s="25"/>
    </row>
    <row r="21" spans="1:18" x14ac:dyDescent="0.2">
      <c r="A21" s="898" t="str">
        <f>IF(MASTERSWITCH=1,"CONTINUE USING THIS PROGRAM","")</f>
        <v/>
      </c>
      <c r="B21" s="898"/>
      <c r="C21" s="898"/>
      <c r="D21" s="25"/>
      <c r="E21" s="25"/>
      <c r="F21" s="25"/>
      <c r="G21" s="25"/>
      <c r="H21" s="25"/>
      <c r="I21" s="25"/>
      <c r="J21" s="25"/>
      <c r="K21" s="25"/>
      <c r="L21" s="25"/>
      <c r="M21" s="25"/>
      <c r="N21" s="25"/>
      <c r="O21" s="25"/>
      <c r="P21" s="25"/>
      <c r="Q21" s="25"/>
      <c r="R21" s="25"/>
    </row>
    <row r="22" spans="1:18" x14ac:dyDescent="0.2">
      <c r="A22" s="25"/>
      <c r="B22" s="25"/>
      <c r="C22" s="25"/>
      <c r="D22" s="25"/>
      <c r="E22" s="25"/>
      <c r="F22" s="25"/>
      <c r="G22" s="25"/>
      <c r="H22" s="25"/>
      <c r="I22" s="25"/>
      <c r="J22" s="25"/>
      <c r="K22" s="25"/>
      <c r="L22" s="25"/>
      <c r="M22" s="25"/>
      <c r="N22" s="25"/>
      <c r="O22" s="25"/>
      <c r="P22" s="25"/>
      <c r="Q22" s="25"/>
      <c r="R22" s="25"/>
    </row>
    <row r="23" spans="1:18" x14ac:dyDescent="0.2">
      <c r="A23" s="25"/>
      <c r="B23" s="25"/>
      <c r="C23" s="25"/>
      <c r="D23" s="25"/>
      <c r="E23" s="25"/>
      <c r="F23" s="25"/>
      <c r="G23" s="25"/>
      <c r="H23" s="25"/>
      <c r="I23" s="25"/>
      <c r="J23" s="25"/>
      <c r="K23" s="25"/>
      <c r="L23" s="25"/>
      <c r="M23" s="25"/>
      <c r="N23" s="25"/>
      <c r="O23" s="25"/>
      <c r="P23" s="25"/>
      <c r="Q23" s="25"/>
      <c r="R23" s="25"/>
    </row>
    <row r="24" spans="1:18" ht="15.75" x14ac:dyDescent="0.25">
      <c r="A24" s="25"/>
      <c r="B24" s="25"/>
      <c r="C24" s="25"/>
      <c r="D24" s="25"/>
      <c r="E24" s="25"/>
      <c r="F24" s="25"/>
      <c r="G24" s="25"/>
      <c r="H24" s="498">
        <f>LOOKUP(C8,A52:A80,G52:G80)</f>
        <v>0.30299999999999999</v>
      </c>
      <c r="I24" s="497" t="s">
        <v>1168</v>
      </c>
      <c r="J24" s="25"/>
      <c r="K24" s="25"/>
      <c r="L24" s="25"/>
      <c r="M24" s="25"/>
      <c r="N24" s="25"/>
      <c r="O24" s="25"/>
      <c r="P24" s="25"/>
      <c r="Q24" s="25"/>
      <c r="R24" s="25"/>
    </row>
    <row r="25" spans="1:18" x14ac:dyDescent="0.2">
      <c r="A25" s="25"/>
      <c r="B25" s="25"/>
      <c r="C25" s="25"/>
      <c r="D25" s="25"/>
      <c r="E25" s="25"/>
      <c r="F25" s="25"/>
      <c r="G25" s="25"/>
      <c r="H25" s="25"/>
      <c r="I25" s="25"/>
      <c r="J25" s="25"/>
      <c r="K25" s="25"/>
      <c r="L25" s="25"/>
      <c r="M25" s="25"/>
      <c r="N25" s="25"/>
      <c r="O25" s="25"/>
      <c r="P25" s="25"/>
      <c r="Q25" s="25"/>
      <c r="R25" s="25"/>
    </row>
    <row r="26" spans="1:18" x14ac:dyDescent="0.2">
      <c r="A26" s="25"/>
      <c r="B26" s="25"/>
      <c r="C26" s="25"/>
      <c r="D26" s="25"/>
      <c r="E26" s="25"/>
      <c r="F26" s="25"/>
      <c r="G26" s="25"/>
      <c r="H26" s="25"/>
      <c r="I26" s="25"/>
      <c r="J26" s="25"/>
      <c r="K26" s="25"/>
      <c r="L26" s="25"/>
      <c r="M26" s="25"/>
      <c r="N26" s="25"/>
      <c r="O26" s="25"/>
      <c r="P26" s="25"/>
      <c r="Q26" s="25"/>
      <c r="R26" s="25"/>
    </row>
    <row r="27" spans="1:18" x14ac:dyDescent="0.2">
      <c r="A27" s="25"/>
      <c r="B27" s="25"/>
      <c r="C27" s="25"/>
      <c r="D27" s="25"/>
      <c r="E27" s="25"/>
      <c r="F27" s="25"/>
      <c r="G27" s="25"/>
      <c r="H27" s="25"/>
      <c r="I27" s="25"/>
      <c r="J27" s="25"/>
      <c r="K27" s="25"/>
      <c r="L27" s="25"/>
      <c r="M27" s="25"/>
      <c r="N27" s="25"/>
      <c r="O27" s="25"/>
      <c r="P27" s="25"/>
      <c r="Q27" s="25"/>
      <c r="R27" s="25"/>
    </row>
    <row r="28" spans="1:18" x14ac:dyDescent="0.2">
      <c r="A28" s="633"/>
      <c r="B28" s="25"/>
      <c r="C28" s="25"/>
      <c r="D28" s="25"/>
      <c r="E28" s="25"/>
      <c r="F28" s="25"/>
      <c r="G28" s="25"/>
      <c r="H28" s="25"/>
      <c r="I28" s="25"/>
      <c r="J28" s="25"/>
      <c r="K28" s="25"/>
      <c r="L28" s="25"/>
      <c r="M28" s="25"/>
      <c r="N28" s="25"/>
      <c r="O28" s="25"/>
      <c r="P28" s="25"/>
      <c r="Q28" s="25"/>
      <c r="R28" s="25"/>
    </row>
    <row r="29" spans="1:18" x14ac:dyDescent="0.2">
      <c r="A29" s="25"/>
      <c r="B29" s="25"/>
      <c r="C29" s="25"/>
      <c r="D29" s="25"/>
      <c r="E29" s="25"/>
      <c r="F29" s="25"/>
      <c r="G29" s="25"/>
      <c r="H29" s="25"/>
      <c r="I29" s="25"/>
      <c r="J29" s="25"/>
      <c r="K29" s="25"/>
      <c r="L29" s="25"/>
      <c r="M29" s="25"/>
      <c r="N29" s="25"/>
      <c r="O29" s="25"/>
      <c r="P29" s="25"/>
      <c r="Q29" s="25"/>
      <c r="R29" s="25"/>
    </row>
    <row r="30" spans="1:18" x14ac:dyDescent="0.2">
      <c r="A30" s="25"/>
      <c r="B30" s="25"/>
      <c r="C30" s="25"/>
      <c r="D30" s="25"/>
      <c r="E30" s="25"/>
      <c r="F30" s="25"/>
      <c r="G30" s="25"/>
      <c r="H30" s="25"/>
      <c r="I30" s="25"/>
      <c r="J30" s="25"/>
      <c r="K30" s="25"/>
      <c r="L30" s="25"/>
      <c r="M30" s="25"/>
      <c r="N30" s="25"/>
      <c r="O30" s="25"/>
      <c r="P30" s="25"/>
      <c r="Q30" s="25"/>
      <c r="R30" s="25"/>
    </row>
    <row r="31" spans="1:18" x14ac:dyDescent="0.2">
      <c r="A31" s="25"/>
      <c r="B31" s="25"/>
      <c r="C31" s="25"/>
      <c r="D31" s="25"/>
      <c r="E31" s="25"/>
      <c r="F31" s="25"/>
      <c r="G31" s="25"/>
      <c r="H31" s="25"/>
      <c r="I31" s="25"/>
      <c r="J31" s="25"/>
      <c r="K31" s="25"/>
      <c r="L31" s="25"/>
      <c r="M31" s="25"/>
      <c r="N31" s="25"/>
      <c r="O31" s="25"/>
      <c r="P31" s="25"/>
      <c r="Q31" s="25"/>
      <c r="R31" s="25"/>
    </row>
    <row r="32" spans="1:18" x14ac:dyDescent="0.2">
      <c r="A32" s="25"/>
      <c r="B32" s="25"/>
      <c r="C32" s="25"/>
      <c r="D32" s="25"/>
      <c r="E32" s="25"/>
      <c r="F32" s="25"/>
      <c r="G32" s="25"/>
      <c r="H32" s="25"/>
      <c r="I32" s="25"/>
      <c r="J32" s="25"/>
      <c r="K32" s="25"/>
      <c r="L32" s="25"/>
      <c r="M32" s="25"/>
      <c r="N32" s="25"/>
      <c r="O32" s="25"/>
      <c r="P32" s="25"/>
      <c r="Q32" s="25"/>
      <c r="R32" s="25"/>
    </row>
    <row r="33" spans="1:18" x14ac:dyDescent="0.2">
      <c r="A33" s="25"/>
      <c r="B33" s="25"/>
      <c r="C33" s="25"/>
      <c r="D33" s="25"/>
      <c r="E33" s="25"/>
      <c r="F33" s="25"/>
      <c r="G33" s="25"/>
      <c r="H33" s="25"/>
      <c r="I33" s="25"/>
      <c r="J33" s="25"/>
      <c r="K33" s="25"/>
      <c r="L33" s="25"/>
      <c r="M33" s="25"/>
      <c r="N33" s="25"/>
      <c r="O33" s="25"/>
      <c r="P33" s="25"/>
      <c r="Q33" s="25"/>
      <c r="R33" s="25"/>
    </row>
    <row r="34" spans="1:18" x14ac:dyDescent="0.2">
      <c r="A34" s="25"/>
      <c r="B34" s="25"/>
      <c r="C34" s="25"/>
      <c r="D34" s="25"/>
      <c r="E34" s="25"/>
      <c r="F34" s="25"/>
      <c r="G34" s="25"/>
      <c r="H34" s="25"/>
      <c r="I34" s="25"/>
      <c r="J34" s="25"/>
      <c r="K34" s="25"/>
      <c r="L34" s="25"/>
      <c r="M34" s="25"/>
      <c r="N34" s="25"/>
      <c r="O34" s="25"/>
      <c r="P34" s="25"/>
      <c r="Q34" s="25"/>
      <c r="R34" s="25"/>
    </row>
    <row r="35" spans="1:18" x14ac:dyDescent="0.2">
      <c r="A35" s="25"/>
      <c r="B35" s="25"/>
      <c r="C35" s="25"/>
      <c r="D35" s="25"/>
      <c r="E35" s="25"/>
      <c r="F35" s="25"/>
      <c r="G35" s="25"/>
      <c r="H35" s="25"/>
      <c r="I35" s="25"/>
      <c r="J35" s="25"/>
      <c r="K35" s="25"/>
      <c r="L35" s="25"/>
      <c r="M35" s="25"/>
      <c r="N35" s="25"/>
      <c r="O35" s="25"/>
      <c r="P35" s="25"/>
      <c r="Q35" s="25"/>
      <c r="R35" s="25"/>
    </row>
    <row r="36" spans="1:18" x14ac:dyDescent="0.2">
      <c r="A36" s="25"/>
      <c r="B36" s="25"/>
      <c r="C36" s="25"/>
      <c r="D36" s="25"/>
      <c r="E36" s="25"/>
      <c r="F36" s="25"/>
      <c r="G36" s="25"/>
      <c r="H36" s="25"/>
      <c r="I36" s="25"/>
      <c r="J36" s="25"/>
      <c r="K36" s="25"/>
      <c r="L36" s="25"/>
      <c r="M36" s="25"/>
      <c r="N36" s="25"/>
      <c r="O36" s="25"/>
      <c r="P36" s="25"/>
      <c r="Q36" s="25"/>
      <c r="R36" s="25"/>
    </row>
    <row r="37" spans="1:18" x14ac:dyDescent="0.2">
      <c r="A37" s="25"/>
      <c r="B37" s="25"/>
      <c r="C37" s="25"/>
      <c r="D37" s="25"/>
      <c r="E37" s="25"/>
      <c r="F37" s="25"/>
      <c r="G37" s="25"/>
      <c r="H37" s="25"/>
      <c r="I37" s="25"/>
      <c r="J37" s="25"/>
      <c r="K37" s="25"/>
      <c r="L37" s="25"/>
      <c r="M37" s="25"/>
      <c r="N37" s="25"/>
      <c r="O37" s="25"/>
      <c r="P37" s="25"/>
      <c r="Q37" s="25"/>
      <c r="R37" s="25"/>
    </row>
    <row r="38" spans="1:18" x14ac:dyDescent="0.2">
      <c r="A38" s="25"/>
      <c r="B38" s="25"/>
      <c r="C38" s="25"/>
      <c r="D38" s="25"/>
      <c r="E38" s="25"/>
      <c r="F38" s="25"/>
      <c r="G38" s="25"/>
      <c r="H38" s="25"/>
      <c r="I38" s="25"/>
      <c r="J38" s="25"/>
      <c r="K38" s="25"/>
      <c r="L38" s="25"/>
      <c r="M38" s="25"/>
      <c r="N38" s="25"/>
      <c r="O38" s="25"/>
      <c r="P38" s="25"/>
      <c r="Q38" s="25"/>
      <c r="R38" s="25"/>
    </row>
    <row r="39" spans="1:18" x14ac:dyDescent="0.2">
      <c r="A39" s="25"/>
      <c r="B39" s="25"/>
      <c r="C39" s="25"/>
      <c r="D39" s="25"/>
      <c r="E39" s="25"/>
      <c r="F39" s="25"/>
      <c r="G39" s="25"/>
      <c r="H39" s="25"/>
      <c r="I39" s="25"/>
      <c r="J39" s="25"/>
      <c r="K39" s="25"/>
      <c r="L39" s="25"/>
      <c r="M39" s="25"/>
      <c r="N39" s="25"/>
      <c r="O39" s="25"/>
      <c r="P39" s="25"/>
      <c r="Q39" s="25"/>
      <c r="R39" s="25"/>
    </row>
    <row r="40" spans="1:18" x14ac:dyDescent="0.2">
      <c r="A40" s="25"/>
      <c r="B40" s="25"/>
      <c r="C40" s="25"/>
      <c r="D40" s="25"/>
      <c r="E40" s="25"/>
      <c r="F40" s="25"/>
      <c r="G40" s="25"/>
      <c r="H40" s="25"/>
      <c r="I40" s="25"/>
      <c r="J40" s="25"/>
      <c r="K40" s="25"/>
      <c r="L40" s="25"/>
      <c r="M40" s="25"/>
      <c r="N40" s="25"/>
      <c r="O40" s="25"/>
      <c r="P40" s="25"/>
      <c r="Q40" s="25"/>
      <c r="R40" s="25"/>
    </row>
    <row r="41" spans="1:18" x14ac:dyDescent="0.2">
      <c r="A41" s="25"/>
      <c r="B41" s="25"/>
      <c r="C41" s="25"/>
      <c r="D41" s="25"/>
      <c r="E41" s="25"/>
      <c r="F41" s="25"/>
      <c r="G41" s="25"/>
      <c r="H41" s="25"/>
      <c r="I41" s="25"/>
      <c r="J41" s="25"/>
      <c r="K41" s="25"/>
      <c r="L41" s="25"/>
      <c r="M41" s="25"/>
      <c r="N41" s="25"/>
      <c r="O41" s="25"/>
      <c r="P41" s="25"/>
      <c r="Q41" s="25"/>
      <c r="R41" s="25"/>
    </row>
    <row r="42" spans="1:18" x14ac:dyDescent="0.2">
      <c r="A42" s="25"/>
      <c r="B42" s="25"/>
      <c r="C42" s="25"/>
      <c r="D42" s="25"/>
      <c r="E42" s="25"/>
      <c r="F42" s="25"/>
      <c r="G42" s="25"/>
      <c r="H42" s="25"/>
      <c r="I42" s="25"/>
      <c r="J42" s="25"/>
      <c r="K42" s="25"/>
      <c r="L42" s="25"/>
      <c r="M42" s="25"/>
      <c r="N42" s="25"/>
      <c r="O42" s="25"/>
      <c r="P42" s="25"/>
      <c r="Q42" s="25"/>
      <c r="R42" s="25"/>
    </row>
    <row r="43" spans="1:18" x14ac:dyDescent="0.2">
      <c r="A43" s="25"/>
      <c r="B43" s="25"/>
      <c r="C43" s="25"/>
      <c r="D43" s="25"/>
      <c r="E43" s="25"/>
      <c r="F43" s="25"/>
      <c r="G43" s="25"/>
      <c r="H43" s="25"/>
      <c r="I43" s="25"/>
      <c r="J43" s="25"/>
      <c r="K43" s="25"/>
      <c r="L43" s="25"/>
      <c r="M43" s="25"/>
      <c r="N43" s="25"/>
      <c r="O43" s="25"/>
      <c r="P43" s="25"/>
      <c r="Q43" s="25"/>
      <c r="R43" s="25"/>
    </row>
    <row r="44" spans="1:18" x14ac:dyDescent="0.2">
      <c r="A44" s="25"/>
      <c r="B44" s="25"/>
      <c r="C44" s="25"/>
      <c r="D44" s="25"/>
      <c r="E44" s="25"/>
      <c r="F44" s="25"/>
      <c r="G44" s="25"/>
      <c r="H44" s="25"/>
      <c r="I44" s="25"/>
      <c r="J44" s="25"/>
      <c r="K44" s="25"/>
      <c r="L44" s="25"/>
      <c r="M44" s="25"/>
      <c r="N44" s="25"/>
      <c r="O44" s="25"/>
      <c r="P44" s="25"/>
      <c r="Q44" s="25"/>
      <c r="R44" s="25"/>
    </row>
    <row r="45" spans="1:18" x14ac:dyDescent="0.2">
      <c r="A45" s="25"/>
      <c r="B45" s="25"/>
      <c r="C45" s="25"/>
      <c r="D45" s="25"/>
      <c r="E45" s="25"/>
      <c r="F45" s="25"/>
      <c r="G45" s="25"/>
      <c r="H45" s="25"/>
      <c r="I45" s="25"/>
      <c r="J45" s="25"/>
      <c r="K45" s="25"/>
      <c r="L45" s="25"/>
      <c r="M45" s="25"/>
      <c r="N45" s="25"/>
      <c r="O45" s="25"/>
      <c r="P45" s="25"/>
      <c r="Q45" s="25"/>
      <c r="R45" s="25"/>
    </row>
    <row r="46" spans="1:18" x14ac:dyDescent="0.2">
      <c r="A46" s="25"/>
      <c r="B46" s="25"/>
      <c r="C46" s="25"/>
      <c r="D46" s="25"/>
      <c r="E46" s="25"/>
      <c r="F46" s="25"/>
      <c r="G46" s="25"/>
      <c r="H46" s="25"/>
      <c r="I46" s="25"/>
      <c r="J46" s="25"/>
      <c r="K46" s="25"/>
      <c r="L46" s="25"/>
      <c r="M46" s="25"/>
      <c r="N46" s="25"/>
      <c r="O46" s="25"/>
      <c r="P46" s="25"/>
      <c r="Q46" s="25"/>
      <c r="R46" s="25"/>
    </row>
    <row r="47" spans="1:18" x14ac:dyDescent="0.2">
      <c r="A47" s="25"/>
      <c r="B47" s="25"/>
      <c r="C47" s="25"/>
      <c r="D47" s="25"/>
      <c r="E47" s="25"/>
      <c r="F47" s="25"/>
      <c r="G47" s="25"/>
      <c r="H47" s="25"/>
      <c r="I47" s="25"/>
      <c r="J47" s="25"/>
      <c r="K47" s="25"/>
      <c r="L47" s="25"/>
      <c r="M47" s="25"/>
      <c r="N47" s="25"/>
      <c r="O47" s="25"/>
      <c r="P47" s="25"/>
      <c r="Q47" s="25"/>
      <c r="R47" s="25"/>
    </row>
    <row r="48" spans="1:18" x14ac:dyDescent="0.2">
      <c r="A48" s="25"/>
      <c r="B48" s="25"/>
      <c r="C48" s="25"/>
      <c r="D48" s="25"/>
      <c r="E48" s="25"/>
      <c r="F48" s="25"/>
      <c r="G48" s="25"/>
      <c r="H48" s="25"/>
      <c r="I48" s="25"/>
      <c r="J48" s="25"/>
      <c r="K48" s="25"/>
      <c r="L48" s="25"/>
      <c r="M48" s="25"/>
      <c r="N48" s="25"/>
      <c r="O48" s="25"/>
      <c r="P48" s="25"/>
      <c r="Q48" s="25"/>
      <c r="R48" s="25"/>
    </row>
    <row r="49" spans="1:18" x14ac:dyDescent="0.2">
      <c r="A49" s="25"/>
      <c r="B49" s="25"/>
      <c r="C49" s="25"/>
      <c r="D49" s="25"/>
      <c r="E49" s="25"/>
      <c r="F49" s="25"/>
      <c r="G49" s="25"/>
      <c r="H49" s="25"/>
      <c r="I49" s="25"/>
      <c r="J49" s="25"/>
      <c r="K49" s="25"/>
      <c r="L49" s="25"/>
      <c r="M49" s="25"/>
      <c r="N49" s="25"/>
      <c r="O49" s="25"/>
      <c r="P49" s="25"/>
      <c r="Q49" s="25"/>
      <c r="R49" s="25"/>
    </row>
    <row r="50" spans="1:18" ht="14.25" x14ac:dyDescent="0.25">
      <c r="B50" s="901" t="s">
        <v>1129</v>
      </c>
      <c r="C50" s="484" t="s">
        <v>754</v>
      </c>
      <c r="D50" s="485" t="s">
        <v>1130</v>
      </c>
      <c r="E50" s="485" t="s">
        <v>1166</v>
      </c>
      <c r="F50" s="485" t="s">
        <v>1131</v>
      </c>
      <c r="G50" s="485" t="s">
        <v>1132</v>
      </c>
      <c r="H50" s="25"/>
      <c r="I50" s="25"/>
      <c r="J50" s="25"/>
      <c r="K50" s="25"/>
      <c r="L50" s="25"/>
      <c r="M50" s="25"/>
      <c r="N50" s="25"/>
      <c r="O50" s="25"/>
      <c r="P50" s="25"/>
      <c r="Q50" s="25"/>
      <c r="R50" s="25"/>
    </row>
    <row r="51" spans="1:18" x14ac:dyDescent="0.2">
      <c r="B51" s="901"/>
      <c r="C51" s="486" t="s">
        <v>1133</v>
      </c>
      <c r="D51" s="486" t="s">
        <v>1134</v>
      </c>
      <c r="E51" s="486" t="s">
        <v>1134</v>
      </c>
      <c r="F51" s="486" t="s">
        <v>1134</v>
      </c>
      <c r="G51" s="486" t="s">
        <v>1134</v>
      </c>
      <c r="H51" s="25"/>
      <c r="I51" s="25"/>
      <c r="J51" s="25"/>
      <c r="K51" s="25"/>
      <c r="L51" s="25"/>
      <c r="M51" s="25"/>
      <c r="N51" s="25"/>
      <c r="O51" s="25"/>
      <c r="P51" s="25"/>
      <c r="Q51" s="25"/>
      <c r="R51" s="25"/>
    </row>
    <row r="52" spans="1:18" x14ac:dyDescent="0.2">
      <c r="A52" s="488">
        <v>1</v>
      </c>
      <c r="B52" s="483" t="s">
        <v>1347</v>
      </c>
      <c r="C52" s="483">
        <v>14.7</v>
      </c>
      <c r="D52" s="483">
        <v>15</v>
      </c>
      <c r="E52" s="483">
        <v>3.7160000000000002</v>
      </c>
      <c r="F52" s="483">
        <v>0.65</v>
      </c>
      <c r="G52" s="483">
        <v>0.71599999999999997</v>
      </c>
      <c r="H52" s="25"/>
      <c r="I52" s="25"/>
      <c r="J52" s="25"/>
      <c r="K52" s="25"/>
      <c r="L52" s="25"/>
      <c r="M52" s="25"/>
      <c r="N52" s="25"/>
      <c r="O52" s="25"/>
      <c r="P52" s="25"/>
      <c r="Q52" s="25"/>
      <c r="R52" s="25"/>
    </row>
    <row r="53" spans="1:18" x14ac:dyDescent="0.2">
      <c r="A53" s="488">
        <v>2</v>
      </c>
      <c r="B53" s="483" t="s">
        <v>1348</v>
      </c>
      <c r="C53" s="483">
        <v>11.8</v>
      </c>
      <c r="D53" s="483">
        <v>15</v>
      </c>
      <c r="E53" s="483">
        <v>3.52</v>
      </c>
      <c r="F53" s="483">
        <v>0.65</v>
      </c>
      <c r="G53" s="483">
        <v>0.52</v>
      </c>
      <c r="H53" s="25"/>
      <c r="I53" s="25"/>
      <c r="J53" s="25"/>
      <c r="K53" s="25"/>
      <c r="L53" s="25"/>
      <c r="M53" s="25"/>
      <c r="N53" s="25"/>
      <c r="O53" s="25"/>
      <c r="P53" s="25"/>
      <c r="Q53" s="25"/>
      <c r="R53" s="25"/>
    </row>
    <row r="54" spans="1:18" x14ac:dyDescent="0.2">
      <c r="A54" s="488">
        <v>3</v>
      </c>
      <c r="B54" s="483" t="s">
        <v>1349</v>
      </c>
      <c r="C54" s="483">
        <v>9.9600000000000009</v>
      </c>
      <c r="D54" s="483">
        <v>15</v>
      </c>
      <c r="E54" s="483">
        <v>3.4</v>
      </c>
      <c r="F54" s="483">
        <v>0.65</v>
      </c>
      <c r="G54" s="483">
        <v>0.4</v>
      </c>
      <c r="H54" s="25"/>
      <c r="I54" s="25"/>
      <c r="J54" s="25"/>
      <c r="K54" s="25"/>
      <c r="L54" s="25"/>
      <c r="M54" s="25"/>
      <c r="N54" s="25"/>
      <c r="O54" s="25"/>
      <c r="P54" s="25"/>
      <c r="Q54" s="25"/>
      <c r="R54" s="25"/>
    </row>
    <row r="55" spans="1:18" x14ac:dyDescent="0.2">
      <c r="A55" s="488">
        <v>4</v>
      </c>
      <c r="B55" s="483" t="s">
        <v>1350</v>
      </c>
      <c r="C55" s="483">
        <v>8.82</v>
      </c>
      <c r="D55" s="483">
        <v>12</v>
      </c>
      <c r="E55" s="483">
        <v>3.17</v>
      </c>
      <c r="F55" s="483">
        <v>0.501</v>
      </c>
      <c r="G55" s="483">
        <v>0.51</v>
      </c>
      <c r="H55" s="25"/>
      <c r="I55" s="25"/>
      <c r="J55" s="25"/>
      <c r="K55" s="25"/>
      <c r="L55" s="25"/>
      <c r="M55" s="25"/>
      <c r="N55" s="25"/>
      <c r="O55" s="25"/>
      <c r="P55" s="25"/>
      <c r="Q55" s="25"/>
      <c r="R55" s="25"/>
    </row>
    <row r="56" spans="1:18" x14ac:dyDescent="0.2">
      <c r="A56" s="488">
        <v>5</v>
      </c>
      <c r="B56" s="483" t="s">
        <v>1351</v>
      </c>
      <c r="C56" s="483">
        <v>7.35</v>
      </c>
      <c r="D56" s="483">
        <v>12</v>
      </c>
      <c r="E56" s="483">
        <v>3.0470000000000002</v>
      </c>
      <c r="F56" s="483">
        <v>0.501</v>
      </c>
      <c r="G56" s="483">
        <v>0.38700000000000001</v>
      </c>
      <c r="H56" s="25"/>
      <c r="I56" s="25"/>
      <c r="J56" s="25"/>
      <c r="K56" s="25"/>
      <c r="L56" s="25"/>
      <c r="M56" s="25"/>
      <c r="N56" s="25"/>
      <c r="O56" s="25"/>
      <c r="P56" s="25"/>
      <c r="Q56" s="25"/>
      <c r="R56" s="25"/>
    </row>
    <row r="57" spans="1:18" x14ac:dyDescent="0.2">
      <c r="A57" s="488">
        <v>6</v>
      </c>
      <c r="B57" s="483" t="s">
        <v>1352</v>
      </c>
      <c r="C57" s="483">
        <v>6.09</v>
      </c>
      <c r="D57" s="483">
        <v>12</v>
      </c>
      <c r="E57" s="483">
        <v>2.9420000000000002</v>
      </c>
      <c r="F57" s="483">
        <v>0.501</v>
      </c>
      <c r="G57" s="483">
        <v>0.28199999999999997</v>
      </c>
      <c r="H57" s="25"/>
      <c r="I57" s="25"/>
      <c r="J57" s="25"/>
      <c r="K57" s="25"/>
      <c r="L57" s="25"/>
      <c r="M57" s="25"/>
      <c r="N57" s="25"/>
      <c r="O57" s="25"/>
      <c r="P57" s="25"/>
      <c r="Q57" s="25"/>
      <c r="R57" s="25"/>
    </row>
    <row r="58" spans="1:18" x14ac:dyDescent="0.2">
      <c r="A58" s="488">
        <v>7</v>
      </c>
      <c r="B58" s="483" t="s">
        <v>1353</v>
      </c>
      <c r="C58" s="483">
        <v>8.82</v>
      </c>
      <c r="D58" s="483">
        <v>10</v>
      </c>
      <c r="E58" s="483">
        <v>3.0329999999999999</v>
      </c>
      <c r="F58" s="483">
        <v>0.436</v>
      </c>
      <c r="G58" s="483">
        <v>0.67300000000000004</v>
      </c>
      <c r="H58" s="25"/>
      <c r="I58" s="25"/>
      <c r="J58" s="25"/>
      <c r="K58" s="25"/>
      <c r="L58" s="25"/>
      <c r="M58" s="25"/>
      <c r="N58" s="25"/>
      <c r="O58" s="25"/>
      <c r="P58" s="25"/>
      <c r="Q58" s="25"/>
      <c r="R58" s="25"/>
    </row>
    <row r="59" spans="1:18" x14ac:dyDescent="0.2">
      <c r="A59" s="488">
        <v>8</v>
      </c>
      <c r="B59" s="483" t="s">
        <v>1354</v>
      </c>
      <c r="C59" s="483">
        <v>7.35</v>
      </c>
      <c r="D59" s="483">
        <v>10</v>
      </c>
      <c r="E59" s="483">
        <v>2.8860000000000001</v>
      </c>
      <c r="F59" s="483">
        <v>0.436</v>
      </c>
      <c r="G59" s="483">
        <v>0.52600000000000002</v>
      </c>
      <c r="H59" s="25"/>
      <c r="I59" s="25"/>
      <c r="J59" s="25"/>
      <c r="K59" s="25"/>
      <c r="L59" s="25"/>
      <c r="M59" s="25"/>
      <c r="N59" s="25"/>
      <c r="O59" s="25"/>
      <c r="P59" s="25"/>
      <c r="Q59" s="25"/>
      <c r="R59" s="25"/>
    </row>
    <row r="60" spans="1:18" x14ac:dyDescent="0.2">
      <c r="A60" s="488">
        <v>9</v>
      </c>
      <c r="B60" s="483" t="s">
        <v>1355</v>
      </c>
      <c r="C60" s="483">
        <v>5.88</v>
      </c>
      <c r="D60" s="483">
        <v>10</v>
      </c>
      <c r="E60" s="483">
        <v>2.7389999999999999</v>
      </c>
      <c r="F60" s="483">
        <v>0.436</v>
      </c>
      <c r="G60" s="483">
        <v>0.379</v>
      </c>
      <c r="H60" s="25"/>
      <c r="I60" s="25"/>
      <c r="J60" s="25"/>
      <c r="K60" s="25"/>
      <c r="L60" s="25"/>
      <c r="M60" s="25"/>
      <c r="N60" s="25"/>
      <c r="O60" s="25"/>
      <c r="P60" s="25"/>
      <c r="Q60" s="25"/>
      <c r="R60" s="25"/>
    </row>
    <row r="61" spans="1:18" x14ac:dyDescent="0.2">
      <c r="A61" s="488">
        <v>10</v>
      </c>
      <c r="B61" s="483" t="s">
        <v>1366</v>
      </c>
      <c r="C61" s="483">
        <v>4.49</v>
      </c>
      <c r="D61" s="483">
        <v>10</v>
      </c>
      <c r="E61" s="483">
        <v>2.6</v>
      </c>
      <c r="F61" s="483">
        <v>0.436</v>
      </c>
      <c r="G61" s="483">
        <v>0.24</v>
      </c>
      <c r="H61" s="25"/>
      <c r="I61" s="25"/>
      <c r="J61" s="25"/>
      <c r="K61" s="25"/>
      <c r="L61" s="25"/>
      <c r="M61" s="25"/>
      <c r="N61" s="25"/>
      <c r="O61" s="25"/>
      <c r="P61" s="25"/>
      <c r="Q61" s="25"/>
      <c r="R61" s="25"/>
    </row>
    <row r="62" spans="1:18" x14ac:dyDescent="0.2">
      <c r="A62" s="488">
        <v>11</v>
      </c>
      <c r="B62" s="483" t="s">
        <v>1367</v>
      </c>
      <c r="C62" s="483">
        <v>5.88</v>
      </c>
      <c r="D62" s="483">
        <v>9</v>
      </c>
      <c r="E62" s="483">
        <v>2.6480000000000001</v>
      </c>
      <c r="F62" s="483">
        <v>0.41299999999999998</v>
      </c>
      <c r="G62" s="483">
        <v>0.44800000000000001</v>
      </c>
      <c r="H62" s="25"/>
      <c r="I62" s="25"/>
      <c r="J62" s="25"/>
      <c r="K62" s="25"/>
      <c r="L62" s="25"/>
      <c r="M62" s="25"/>
      <c r="N62" s="25"/>
      <c r="O62" s="25"/>
      <c r="P62" s="25"/>
      <c r="Q62" s="25"/>
      <c r="R62" s="25"/>
    </row>
    <row r="63" spans="1:18" x14ac:dyDescent="0.2">
      <c r="A63" s="488">
        <v>12</v>
      </c>
      <c r="B63" s="483" t="s">
        <v>1368</v>
      </c>
      <c r="C63" s="483">
        <v>4.41</v>
      </c>
      <c r="D63" s="483">
        <v>9</v>
      </c>
      <c r="E63" s="483">
        <v>2.4849999999999999</v>
      </c>
      <c r="F63" s="483">
        <v>0.41299999999999998</v>
      </c>
      <c r="G63" s="483">
        <v>0.28499999999999998</v>
      </c>
      <c r="H63" s="25"/>
      <c r="I63" s="25"/>
      <c r="J63" s="25"/>
      <c r="K63" s="25"/>
      <c r="L63" s="25"/>
      <c r="M63" s="25"/>
      <c r="N63" s="25"/>
      <c r="O63" s="25"/>
      <c r="P63" s="25"/>
      <c r="Q63" s="25"/>
      <c r="R63" s="25"/>
    </row>
    <row r="64" spans="1:18" x14ac:dyDescent="0.2">
      <c r="A64" s="488">
        <v>13</v>
      </c>
      <c r="B64" s="483" t="s">
        <v>1369</v>
      </c>
      <c r="C64" s="483">
        <v>3.94</v>
      </c>
      <c r="D64" s="483">
        <v>9</v>
      </c>
      <c r="E64" s="483">
        <v>2.4329999999999998</v>
      </c>
      <c r="F64" s="483">
        <v>0.41299999999999998</v>
      </c>
      <c r="G64" s="483">
        <v>0.23300000000000001</v>
      </c>
      <c r="H64" s="25"/>
      <c r="I64" s="25"/>
      <c r="J64" s="25"/>
      <c r="K64" s="25"/>
      <c r="L64" s="25"/>
      <c r="M64" s="25"/>
      <c r="N64" s="25"/>
      <c r="O64" s="25"/>
      <c r="P64" s="25"/>
      <c r="Q64" s="25"/>
      <c r="R64" s="25"/>
    </row>
    <row r="65" spans="1:18" x14ac:dyDescent="0.2">
      <c r="A65" s="488">
        <v>14</v>
      </c>
      <c r="B65" s="483" t="s">
        <v>1370</v>
      </c>
      <c r="C65" s="483">
        <v>5.51</v>
      </c>
      <c r="D65" s="483">
        <v>8</v>
      </c>
      <c r="E65" s="483">
        <v>2.5270000000000001</v>
      </c>
      <c r="F65" s="483">
        <v>0.39</v>
      </c>
      <c r="G65" s="483">
        <v>0.48699999999999999</v>
      </c>
      <c r="H65" s="25"/>
      <c r="I65" s="25"/>
      <c r="J65" s="25"/>
      <c r="K65" s="25"/>
      <c r="L65" s="25"/>
      <c r="M65" s="25"/>
      <c r="N65" s="25"/>
      <c r="O65" s="25"/>
      <c r="P65" s="25"/>
      <c r="Q65" s="25"/>
      <c r="R65" s="25"/>
    </row>
    <row r="66" spans="1:18" x14ac:dyDescent="0.2">
      <c r="A66" s="488">
        <v>15</v>
      </c>
      <c r="B66" s="483" t="s">
        <v>1371</v>
      </c>
      <c r="C66" s="483">
        <v>4.04</v>
      </c>
      <c r="D66" s="483">
        <v>8</v>
      </c>
      <c r="E66" s="483">
        <v>2.343</v>
      </c>
      <c r="F66" s="483">
        <v>0.39</v>
      </c>
      <c r="G66" s="483">
        <v>0.30299999999999999</v>
      </c>
      <c r="H66" s="25"/>
      <c r="I66" s="25"/>
      <c r="J66" s="25"/>
      <c r="K66" s="25"/>
      <c r="L66" s="25"/>
      <c r="M66" s="25"/>
      <c r="N66" s="25"/>
      <c r="O66" s="25"/>
      <c r="P66" s="25"/>
      <c r="Q66" s="25"/>
      <c r="R66" s="25"/>
    </row>
    <row r="67" spans="1:18" x14ac:dyDescent="0.2">
      <c r="A67" s="488">
        <v>16</v>
      </c>
      <c r="B67" s="483" t="s">
        <v>1372</v>
      </c>
      <c r="C67" s="483">
        <v>3.38</v>
      </c>
      <c r="D67" s="483">
        <v>8</v>
      </c>
      <c r="E67" s="483">
        <v>2.2599999999999998</v>
      </c>
      <c r="F67" s="483">
        <v>0.39</v>
      </c>
      <c r="G67" s="483">
        <v>0.22</v>
      </c>
      <c r="H67" s="25"/>
      <c r="I67" s="25"/>
      <c r="J67" s="25"/>
      <c r="K67" s="25"/>
      <c r="L67" s="25"/>
      <c r="M67" s="25"/>
      <c r="N67" s="25"/>
      <c r="O67" s="25"/>
      <c r="P67" s="25"/>
      <c r="Q67" s="25"/>
      <c r="R67" s="25"/>
    </row>
    <row r="68" spans="1:18" x14ac:dyDescent="0.2">
      <c r="A68" s="488">
        <v>17</v>
      </c>
      <c r="B68" s="483" t="s">
        <v>1373</v>
      </c>
      <c r="C68" s="483">
        <v>4.33</v>
      </c>
      <c r="D68" s="483">
        <v>7</v>
      </c>
      <c r="E68" s="483">
        <v>2.2989999999999999</v>
      </c>
      <c r="F68" s="483">
        <v>0.36599999999999999</v>
      </c>
      <c r="G68" s="483">
        <v>0.41899999999999998</v>
      </c>
      <c r="H68" s="25"/>
      <c r="I68" s="25"/>
      <c r="J68" s="25"/>
      <c r="K68" s="25"/>
      <c r="L68" s="25"/>
      <c r="M68" s="25"/>
      <c r="N68" s="25"/>
      <c r="O68" s="25"/>
      <c r="P68" s="25"/>
      <c r="Q68" s="25"/>
      <c r="R68" s="25"/>
    </row>
    <row r="69" spans="1:18" x14ac:dyDescent="0.2">
      <c r="A69" s="488">
        <v>18</v>
      </c>
      <c r="B69" s="483" t="s">
        <v>1374</v>
      </c>
      <c r="C69" s="483">
        <v>3.6</v>
      </c>
      <c r="D69" s="483">
        <v>7</v>
      </c>
      <c r="E69" s="483">
        <v>2.194</v>
      </c>
      <c r="F69" s="483">
        <v>0.36599999999999999</v>
      </c>
      <c r="G69" s="483">
        <v>0.314</v>
      </c>
      <c r="H69" s="25"/>
      <c r="I69" s="25"/>
      <c r="J69" s="25"/>
      <c r="K69" s="25"/>
      <c r="L69" s="25"/>
      <c r="M69" s="25"/>
      <c r="N69" s="25"/>
      <c r="O69" s="25"/>
      <c r="P69" s="25"/>
      <c r="Q69" s="25"/>
      <c r="R69" s="25"/>
    </row>
    <row r="70" spans="1:18" x14ac:dyDescent="0.2">
      <c r="A70" s="488">
        <v>19</v>
      </c>
      <c r="B70" s="483" t="s">
        <v>1375</v>
      </c>
      <c r="C70" s="483">
        <v>2.87</v>
      </c>
      <c r="D70" s="483">
        <v>7</v>
      </c>
      <c r="E70" s="483">
        <v>2.09</v>
      </c>
      <c r="F70" s="483">
        <v>0.36599999999999999</v>
      </c>
      <c r="G70" s="483">
        <v>0.21</v>
      </c>
      <c r="H70" s="25"/>
      <c r="I70" s="25"/>
      <c r="J70" s="25"/>
      <c r="K70" s="25"/>
      <c r="L70" s="25"/>
      <c r="M70" s="25"/>
      <c r="N70" s="25"/>
      <c r="O70" s="25"/>
      <c r="P70" s="25"/>
      <c r="Q70" s="25"/>
      <c r="R70" s="25"/>
    </row>
    <row r="71" spans="1:18" x14ac:dyDescent="0.2">
      <c r="A71" s="488">
        <v>20</v>
      </c>
      <c r="B71" s="483" t="s">
        <v>1376</v>
      </c>
      <c r="C71" s="483">
        <v>3.83</v>
      </c>
      <c r="D71" s="483">
        <v>6</v>
      </c>
      <c r="E71" s="483">
        <v>2.157</v>
      </c>
      <c r="F71" s="483">
        <v>0.34300000000000003</v>
      </c>
      <c r="G71" s="483">
        <v>0.437</v>
      </c>
      <c r="H71" s="25"/>
      <c r="I71" s="25"/>
      <c r="J71" s="25"/>
      <c r="K71" s="25"/>
      <c r="L71" s="25"/>
      <c r="M71" s="25"/>
      <c r="N71" s="25"/>
      <c r="O71" s="25"/>
      <c r="P71" s="25"/>
      <c r="Q71" s="25"/>
      <c r="R71" s="25"/>
    </row>
    <row r="72" spans="1:18" x14ac:dyDescent="0.2">
      <c r="A72" s="488">
        <v>21</v>
      </c>
      <c r="B72" s="483" t="s">
        <v>1377</v>
      </c>
      <c r="C72" s="483">
        <v>3.09</v>
      </c>
      <c r="D72" s="483">
        <v>6</v>
      </c>
      <c r="E72" s="483">
        <v>2.0339999999999998</v>
      </c>
      <c r="F72" s="483">
        <v>0.34300000000000003</v>
      </c>
      <c r="G72" s="483">
        <v>0.314</v>
      </c>
      <c r="H72" s="25"/>
      <c r="I72" s="25"/>
      <c r="J72" s="25"/>
      <c r="K72" s="25"/>
      <c r="L72" s="25"/>
      <c r="M72" s="25"/>
      <c r="N72" s="25"/>
      <c r="O72" s="25"/>
      <c r="P72" s="25"/>
      <c r="Q72" s="25"/>
      <c r="R72" s="25"/>
    </row>
    <row r="73" spans="1:18" x14ac:dyDescent="0.2">
      <c r="A73" s="488">
        <v>22</v>
      </c>
      <c r="B73" s="483" t="s">
        <v>1378</v>
      </c>
      <c r="C73" s="483">
        <v>2.4</v>
      </c>
      <c r="D73" s="483">
        <v>6</v>
      </c>
      <c r="E73" s="483">
        <v>1.92</v>
      </c>
      <c r="F73" s="483">
        <v>0.34300000000000003</v>
      </c>
      <c r="G73" s="483">
        <v>0.2</v>
      </c>
      <c r="H73" s="25"/>
      <c r="I73" s="25"/>
      <c r="J73" s="25"/>
      <c r="K73" s="25"/>
      <c r="L73" s="25"/>
      <c r="M73" s="25"/>
      <c r="N73" s="25"/>
      <c r="O73" s="25"/>
      <c r="P73" s="25"/>
      <c r="Q73" s="25"/>
      <c r="R73" s="25"/>
    </row>
    <row r="74" spans="1:18" x14ac:dyDescent="0.2">
      <c r="A74" s="488">
        <v>23</v>
      </c>
      <c r="B74" s="483" t="s">
        <v>1379</v>
      </c>
      <c r="C74" s="483">
        <v>2.64</v>
      </c>
      <c r="D74" s="483">
        <v>5</v>
      </c>
      <c r="E74" s="483">
        <v>1.885</v>
      </c>
      <c r="F74" s="483">
        <v>0.32</v>
      </c>
      <c r="G74" s="483">
        <v>0.32500000000000001</v>
      </c>
      <c r="H74" s="25"/>
      <c r="I74" s="25"/>
      <c r="J74" s="25"/>
      <c r="K74" s="25"/>
      <c r="L74" s="25"/>
      <c r="M74" s="25"/>
      <c r="N74" s="25"/>
      <c r="O74" s="25"/>
      <c r="P74" s="25"/>
      <c r="Q74" s="25"/>
      <c r="R74" s="25"/>
    </row>
    <row r="75" spans="1:18" x14ac:dyDescent="0.2">
      <c r="A75" s="488">
        <v>24</v>
      </c>
      <c r="B75" s="483" t="s">
        <v>1380</v>
      </c>
      <c r="C75" s="483">
        <v>1.97</v>
      </c>
      <c r="D75" s="483">
        <v>5</v>
      </c>
      <c r="E75" s="483">
        <v>1.75</v>
      </c>
      <c r="F75" s="483">
        <v>0.32</v>
      </c>
      <c r="G75" s="483">
        <v>0.19</v>
      </c>
      <c r="H75" s="25"/>
      <c r="I75" s="25"/>
      <c r="J75" s="25"/>
      <c r="K75" s="25"/>
      <c r="L75" s="25"/>
      <c r="M75" s="25"/>
      <c r="N75" s="25"/>
      <c r="O75" s="25"/>
      <c r="P75" s="25"/>
      <c r="Q75" s="25"/>
      <c r="R75" s="25"/>
    </row>
    <row r="76" spans="1:18" x14ac:dyDescent="0.2">
      <c r="A76" s="488">
        <v>25</v>
      </c>
      <c r="B76" s="483" t="s">
        <v>1381</v>
      </c>
      <c r="C76" s="483">
        <v>2.13</v>
      </c>
      <c r="D76" s="483">
        <v>4</v>
      </c>
      <c r="E76" s="483">
        <v>1.7210000000000001</v>
      </c>
      <c r="F76" s="483">
        <v>0.29599999999999999</v>
      </c>
      <c r="G76" s="483">
        <v>0.32100000000000001</v>
      </c>
      <c r="H76" s="25"/>
      <c r="I76" s="25"/>
      <c r="J76" s="25"/>
      <c r="K76" s="25"/>
      <c r="L76" s="25"/>
      <c r="M76" s="25"/>
      <c r="N76" s="25"/>
      <c r="O76" s="25"/>
      <c r="P76" s="25"/>
      <c r="Q76" s="25"/>
      <c r="R76" s="25"/>
    </row>
    <row r="77" spans="1:18" x14ac:dyDescent="0.2">
      <c r="A77" s="488">
        <v>26</v>
      </c>
      <c r="B77" s="483" t="s">
        <v>1382</v>
      </c>
      <c r="C77" s="483">
        <v>1.59</v>
      </c>
      <c r="D77" s="483">
        <v>4</v>
      </c>
      <c r="E77" s="483">
        <v>1.5840000000000001</v>
      </c>
      <c r="F77" s="483">
        <v>0.29599999999999999</v>
      </c>
      <c r="G77" s="483">
        <v>0.184</v>
      </c>
      <c r="H77" s="25"/>
      <c r="I77" s="25"/>
      <c r="J77" s="25"/>
      <c r="K77" s="25"/>
      <c r="L77" s="25"/>
      <c r="M77" s="25"/>
      <c r="N77" s="25"/>
      <c r="O77" s="25"/>
      <c r="P77" s="25"/>
      <c r="Q77" s="25"/>
      <c r="R77" s="25"/>
    </row>
    <row r="78" spans="1:18" x14ac:dyDescent="0.2">
      <c r="A78" s="488">
        <v>27</v>
      </c>
      <c r="B78" s="483" t="s">
        <v>1383</v>
      </c>
      <c r="C78" s="483">
        <v>1.76</v>
      </c>
      <c r="D78" s="483">
        <v>3</v>
      </c>
      <c r="E78" s="483">
        <v>1.5960000000000001</v>
      </c>
      <c r="F78" s="483">
        <v>0.27300000000000002</v>
      </c>
      <c r="G78" s="483">
        <v>0.35599999999999998</v>
      </c>
      <c r="H78" s="25"/>
      <c r="I78" s="25"/>
      <c r="J78" s="25"/>
      <c r="K78" s="25"/>
      <c r="L78" s="25"/>
      <c r="M78" s="25"/>
      <c r="N78" s="25"/>
      <c r="O78" s="25"/>
      <c r="P78" s="25"/>
      <c r="Q78" s="25"/>
      <c r="R78" s="25"/>
    </row>
    <row r="79" spans="1:18" x14ac:dyDescent="0.2">
      <c r="A79" s="488">
        <v>28</v>
      </c>
      <c r="B79" s="483" t="s">
        <v>1384</v>
      </c>
      <c r="C79" s="483">
        <v>1.47</v>
      </c>
      <c r="D79" s="483">
        <v>3</v>
      </c>
      <c r="E79" s="483">
        <v>1.498</v>
      </c>
      <c r="F79" s="483">
        <v>0.27300000000000002</v>
      </c>
      <c r="G79" s="483">
        <v>0.25800000000000001</v>
      </c>
      <c r="H79" s="25"/>
      <c r="I79" s="25"/>
      <c r="J79" s="25"/>
      <c r="K79" s="25"/>
      <c r="L79" s="25"/>
      <c r="M79" s="25"/>
      <c r="N79" s="25"/>
      <c r="O79" s="25"/>
      <c r="P79" s="25"/>
      <c r="Q79" s="25"/>
      <c r="R79" s="25"/>
    </row>
    <row r="80" spans="1:18" x14ac:dyDescent="0.2">
      <c r="A80" s="488">
        <v>29</v>
      </c>
      <c r="B80" s="483" t="s">
        <v>1385</v>
      </c>
      <c r="C80" s="483">
        <v>1.21</v>
      </c>
      <c r="D80" s="483">
        <v>3</v>
      </c>
      <c r="E80" s="483">
        <v>1.41</v>
      </c>
      <c r="F80" s="483">
        <v>0.27300000000000002</v>
      </c>
      <c r="G80" s="483">
        <v>0.17</v>
      </c>
      <c r="H80" s="25"/>
      <c r="I80" s="25"/>
      <c r="J80" s="25"/>
      <c r="K80" s="25"/>
      <c r="L80" s="25"/>
      <c r="M80" s="25"/>
      <c r="N80" s="25"/>
      <c r="O80" s="25"/>
      <c r="P80" s="25"/>
      <c r="Q80" s="25"/>
      <c r="R80" s="25"/>
    </row>
  </sheetData>
  <sheetProtection password="D809" sheet="1" objects="1" scenarios="1" selectLockedCells="1"/>
  <mergeCells count="5">
    <mergeCell ref="B50:B51"/>
    <mergeCell ref="B3:C3"/>
    <mergeCell ref="A19:C19"/>
    <mergeCell ref="A20:C20"/>
    <mergeCell ref="A21:C21"/>
  </mergeCells>
  <phoneticPr fontId="15" type="noConversion"/>
  <conditionalFormatting sqref="C12:C13">
    <cfRule type="expression" dxfId="123" priority="1" stopIfTrue="1">
      <formula>(MASTERSWITCH=1)</formula>
    </cfRule>
  </conditionalFormatting>
  <conditionalFormatting sqref="A19:C21">
    <cfRule type="expression" dxfId="122" priority="2" stopIfTrue="1">
      <formula>(MASTERSWITCH=1)</formula>
    </cfRule>
  </conditionalFormatting>
  <printOptions horizontalCentered="1"/>
  <pageMargins left="0.75" right="0.75" top="1.75" bottom="1.5" header="0.5" footer="0.5"/>
  <pageSetup scale="76" orientation="portrait" horizontalDpi="0" verticalDpi="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2467" r:id="rId5" name="Drop Down 3">
              <controlPr defaultSize="0" autoLine="0" autoPict="0">
                <anchor moveWithCells="1">
                  <from>
                    <xdr:col>2</xdr:col>
                    <xdr:colOff>19050</xdr:colOff>
                    <xdr:row>6</xdr:row>
                    <xdr:rowOff>190500</xdr:rowOff>
                  </from>
                  <to>
                    <xdr:col>3</xdr:col>
                    <xdr:colOff>342900</xdr:colOff>
                    <xdr:row>8</xdr:row>
                    <xdr:rowOff>28575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pageSetUpPr fitToPage="1"/>
  </sheetPr>
  <dimension ref="A1:R182"/>
  <sheetViews>
    <sheetView showRowColHeaders="0" workbookViewId="0">
      <selection activeCell="C13" sqref="C13"/>
    </sheetView>
  </sheetViews>
  <sheetFormatPr defaultRowHeight="12.75" x14ac:dyDescent="0.2"/>
  <cols>
    <col min="1" max="1" width="10.42578125" customWidth="1"/>
    <col min="2" max="2" width="22.7109375" customWidth="1"/>
    <col min="3" max="3" width="9.85546875" customWidth="1"/>
    <col min="5" max="5" width="7.140625" customWidth="1"/>
    <col min="7" max="7" width="11.85546875" customWidth="1"/>
    <col min="9" max="9" width="7.5703125" customWidth="1"/>
  </cols>
  <sheetData>
    <row r="1" spans="1:18" x14ac:dyDescent="0.2">
      <c r="B1" s="25"/>
      <c r="C1" s="25"/>
      <c r="D1" s="25"/>
      <c r="E1" s="25"/>
      <c r="F1" s="25"/>
      <c r="G1" s="25"/>
      <c r="H1" s="25"/>
      <c r="I1" s="25"/>
      <c r="J1" s="25"/>
      <c r="K1" s="25"/>
      <c r="L1" s="25"/>
      <c r="M1" s="25"/>
      <c r="N1" s="25"/>
      <c r="O1" s="25"/>
      <c r="P1" s="25"/>
      <c r="Q1" s="25"/>
      <c r="R1" s="25"/>
    </row>
    <row r="2" spans="1:18" x14ac:dyDescent="0.2">
      <c r="A2" s="26"/>
      <c r="B2" s="25"/>
      <c r="C2" s="25"/>
      <c r="D2" s="25"/>
      <c r="E2" s="25"/>
      <c r="F2" s="25"/>
      <c r="G2" s="25"/>
      <c r="H2" s="25"/>
      <c r="I2" s="25"/>
      <c r="J2" s="25"/>
      <c r="K2" s="25"/>
      <c r="L2" s="25"/>
      <c r="M2" s="25"/>
      <c r="N2" s="25"/>
      <c r="O2" s="25"/>
      <c r="P2" s="25"/>
      <c r="Q2" s="25"/>
      <c r="R2" s="25"/>
    </row>
    <row r="3" spans="1:18" ht="20.25" x14ac:dyDescent="0.3">
      <c r="A3" s="25"/>
      <c r="B3" s="902" t="s">
        <v>1386</v>
      </c>
      <c r="C3" s="902"/>
      <c r="D3" s="25"/>
      <c r="E3" s="25"/>
      <c r="F3" s="25"/>
      <c r="G3" s="25"/>
      <c r="H3" s="25"/>
      <c r="I3" s="25"/>
      <c r="J3" s="25"/>
      <c r="K3" s="25"/>
      <c r="L3" s="25"/>
      <c r="M3" s="25"/>
      <c r="N3" s="25"/>
      <c r="O3" s="25"/>
      <c r="P3" s="25"/>
      <c r="Q3" s="25"/>
      <c r="R3" s="25"/>
    </row>
    <row r="4" spans="1:18" x14ac:dyDescent="0.2">
      <c r="A4" s="25"/>
      <c r="B4" s="25"/>
      <c r="C4" s="25"/>
      <c r="D4" s="25"/>
      <c r="E4" s="25"/>
      <c r="F4" s="25"/>
      <c r="G4" s="25"/>
      <c r="H4" s="25"/>
      <c r="I4" s="25"/>
      <c r="J4" s="25"/>
      <c r="K4" s="25"/>
      <c r="L4" s="25"/>
      <c r="M4" s="25"/>
      <c r="N4" s="25"/>
      <c r="O4" s="25"/>
      <c r="P4" s="25"/>
      <c r="Q4" s="25"/>
      <c r="R4" s="25"/>
    </row>
    <row r="5" spans="1:18" x14ac:dyDescent="0.2">
      <c r="A5" s="25"/>
      <c r="B5" s="25"/>
      <c r="C5" s="494" t="s">
        <v>1169</v>
      </c>
      <c r="D5" s="568">
        <f>LOOKUP(C8,A52:A182,C52:C182)</f>
        <v>11</v>
      </c>
      <c r="E5" s="25"/>
      <c r="F5" s="25"/>
      <c r="G5" s="25"/>
      <c r="H5" s="25"/>
      <c r="I5" s="25"/>
      <c r="J5" s="25"/>
      <c r="K5" s="25"/>
      <c r="L5" s="25"/>
      <c r="M5" s="25"/>
      <c r="N5" s="25"/>
      <c r="O5" s="25"/>
      <c r="P5" s="25"/>
      <c r="Q5" s="25"/>
      <c r="R5" s="25"/>
    </row>
    <row r="6" spans="1:18" ht="21.75" x14ac:dyDescent="0.2">
      <c r="A6" s="25"/>
      <c r="B6" s="25"/>
      <c r="C6" s="494" t="s">
        <v>1543</v>
      </c>
      <c r="D6" s="569">
        <f>LOOKUP(C8,A52:A182,G52:G182)</f>
        <v>37.4</v>
      </c>
      <c r="E6" s="25"/>
      <c r="F6" s="25"/>
      <c r="G6" s="25"/>
      <c r="H6" s="25"/>
      <c r="I6" s="25"/>
      <c r="J6" s="25"/>
      <c r="K6" s="25"/>
      <c r="L6" s="25"/>
      <c r="M6" s="25"/>
      <c r="N6" s="25"/>
      <c r="O6" s="25"/>
      <c r="P6" s="25"/>
      <c r="Q6" s="25"/>
      <c r="R6" s="25"/>
    </row>
    <row r="7" spans="1:18" ht="15.75" x14ac:dyDescent="0.25">
      <c r="A7" s="25"/>
      <c r="B7" s="25"/>
      <c r="C7" s="25"/>
      <c r="D7" s="25"/>
      <c r="E7" s="25"/>
      <c r="F7" s="502"/>
      <c r="G7" s="492"/>
      <c r="I7" s="25"/>
      <c r="J7" s="25"/>
      <c r="K7" s="25"/>
      <c r="L7" s="25"/>
      <c r="M7" s="25"/>
      <c r="N7" s="25"/>
      <c r="O7" s="25"/>
      <c r="P7" s="25"/>
      <c r="Q7" s="25"/>
      <c r="R7" s="25"/>
    </row>
    <row r="8" spans="1:18" x14ac:dyDescent="0.2">
      <c r="A8" s="25"/>
      <c r="B8" s="42"/>
      <c r="C8" s="35">
        <v>8</v>
      </c>
      <c r="D8" s="25"/>
      <c r="E8" s="25"/>
      <c r="F8" s="25"/>
      <c r="G8" s="25"/>
      <c r="H8" s="25"/>
      <c r="I8" s="25"/>
      <c r="J8" s="25"/>
      <c r="K8" s="25"/>
      <c r="L8" s="25"/>
      <c r="M8" s="25"/>
      <c r="N8" s="25"/>
      <c r="O8" s="25"/>
      <c r="P8" s="25"/>
      <c r="Q8" s="25"/>
      <c r="R8" s="25"/>
    </row>
    <row r="9" spans="1:18" x14ac:dyDescent="0.2">
      <c r="A9" s="25"/>
      <c r="C9" s="25"/>
      <c r="D9" s="25"/>
      <c r="E9" s="25"/>
      <c r="F9" s="25"/>
      <c r="G9" s="25"/>
      <c r="H9" s="25"/>
      <c r="I9" s="25"/>
      <c r="J9" s="25"/>
      <c r="K9" s="25"/>
      <c r="L9" s="25"/>
      <c r="M9" s="25"/>
      <c r="N9" s="25"/>
      <c r="O9" s="25"/>
      <c r="P9" s="25"/>
      <c r="Q9" s="25"/>
      <c r="R9" s="25"/>
    </row>
    <row r="10" spans="1:18" x14ac:dyDescent="0.2">
      <c r="A10" s="25"/>
      <c r="B10" s="25"/>
      <c r="C10" s="25"/>
      <c r="D10" s="25"/>
      <c r="E10" s="25"/>
      <c r="F10" s="25"/>
      <c r="G10" s="25"/>
      <c r="H10" s="25"/>
      <c r="I10" s="25"/>
      <c r="J10" s="25"/>
      <c r="K10" s="25"/>
      <c r="L10" s="25"/>
      <c r="M10" s="25"/>
      <c r="N10" s="25"/>
      <c r="O10" s="25"/>
      <c r="P10" s="25"/>
      <c r="Q10" s="25"/>
      <c r="R10" s="25"/>
    </row>
    <row r="11" spans="1:18" ht="15.75" x14ac:dyDescent="0.25">
      <c r="A11" s="25"/>
      <c r="B11" s="25"/>
      <c r="C11" s="25"/>
      <c r="D11" s="25"/>
      <c r="E11" s="25"/>
      <c r="F11" s="25"/>
      <c r="G11" s="25"/>
      <c r="H11" s="25"/>
      <c r="I11" s="498">
        <f>LOOKUP(C8,A52:A182,F52:F182)</f>
        <v>1</v>
      </c>
      <c r="J11" s="497" t="s">
        <v>1168</v>
      </c>
      <c r="K11" s="25"/>
      <c r="L11" s="25"/>
      <c r="M11" s="25"/>
      <c r="N11" s="25"/>
      <c r="O11" s="25"/>
      <c r="P11" s="25"/>
      <c r="Q11" s="25"/>
      <c r="R11" s="25"/>
    </row>
    <row r="12" spans="1:18" x14ac:dyDescent="0.2">
      <c r="A12" s="25"/>
      <c r="B12" s="422" t="s">
        <v>1171</v>
      </c>
      <c r="C12" s="518">
        <v>10</v>
      </c>
      <c r="E12" s="25"/>
      <c r="F12" s="25"/>
      <c r="G12" s="25"/>
      <c r="I12" s="25"/>
      <c r="J12" s="25"/>
      <c r="K12" s="25"/>
      <c r="L12" s="25"/>
      <c r="M12" s="25"/>
      <c r="N12" s="25"/>
      <c r="O12" s="25"/>
      <c r="P12" s="25"/>
      <c r="Q12" s="25"/>
      <c r="R12" s="25"/>
    </row>
    <row r="13" spans="1:18" ht="15.75" customHeight="1" x14ac:dyDescent="0.2">
      <c r="A13" s="25"/>
      <c r="B13" s="422" t="s">
        <v>1170</v>
      </c>
      <c r="C13" s="708">
        <v>0</v>
      </c>
      <c r="D13" s="25"/>
      <c r="E13" s="25"/>
      <c r="F13" s="25"/>
      <c r="G13" s="25"/>
      <c r="H13" s="25"/>
      <c r="I13" s="25"/>
      <c r="J13" s="25"/>
      <c r="K13" s="25"/>
      <c r="L13" s="25"/>
      <c r="M13" s="25"/>
      <c r="N13" s="25"/>
      <c r="O13" s="25"/>
      <c r="P13" s="25"/>
      <c r="Q13" s="25"/>
      <c r="R13" s="25"/>
    </row>
    <row r="14" spans="1:18" x14ac:dyDescent="0.2">
      <c r="A14" s="25"/>
      <c r="B14" s="42" t="s">
        <v>1172</v>
      </c>
      <c r="C14" s="537">
        <f>(C12*12)+C13</f>
        <v>120</v>
      </c>
      <c r="E14" s="25"/>
      <c r="F14" s="25"/>
      <c r="G14" s="25"/>
      <c r="H14" s="25"/>
      <c r="I14" s="25"/>
      <c r="J14" s="25"/>
      <c r="K14" s="25"/>
      <c r="L14" s="25"/>
      <c r="M14" s="25"/>
      <c r="N14" s="25"/>
      <c r="O14" s="25"/>
      <c r="P14" s="25"/>
      <c r="Q14" s="25"/>
      <c r="R14" s="25"/>
    </row>
    <row r="15" spans="1:18" ht="15.75" x14ac:dyDescent="0.25">
      <c r="A15" s="25"/>
      <c r="B15" s="25"/>
      <c r="C15" s="25"/>
      <c r="D15" s="25"/>
      <c r="E15" s="25"/>
      <c r="F15" s="495">
        <f>LOOKUP(C8,A52:A182,D52:D182)</f>
        <v>6</v>
      </c>
      <c r="G15" s="25"/>
      <c r="H15" s="25"/>
      <c r="I15" s="25"/>
      <c r="J15" s="25"/>
      <c r="K15" s="25"/>
      <c r="L15" s="25"/>
      <c r="M15" s="25"/>
      <c r="N15" s="25"/>
      <c r="O15" s="25"/>
      <c r="P15" s="25"/>
      <c r="Q15" s="25"/>
      <c r="R15" s="25"/>
    </row>
    <row r="16" spans="1:18" ht="15.75" x14ac:dyDescent="0.25">
      <c r="A16" s="25"/>
      <c r="B16" s="42" t="s">
        <v>1173</v>
      </c>
      <c r="C16" s="565">
        <f>C14*(D5*0.2836)</f>
        <v>374.35200000000003</v>
      </c>
      <c r="D16" s="60" t="s">
        <v>2014</v>
      </c>
      <c r="E16" s="25"/>
      <c r="F16" s="496" t="s">
        <v>1168</v>
      </c>
      <c r="G16" s="25"/>
      <c r="H16" s="25"/>
      <c r="I16" s="25"/>
      <c r="J16" s="25"/>
      <c r="K16" s="25"/>
      <c r="L16" s="25"/>
      <c r="M16" s="25"/>
      <c r="N16" s="25"/>
      <c r="O16" s="25"/>
      <c r="P16" s="25"/>
      <c r="Q16" s="25"/>
      <c r="R16" s="25"/>
    </row>
    <row r="17" spans="1:18" x14ac:dyDescent="0.2">
      <c r="A17" s="25"/>
      <c r="B17" s="42" t="s">
        <v>1173</v>
      </c>
      <c r="C17" s="566">
        <f>C16/2000</f>
        <v>0.18717600000000001</v>
      </c>
      <c r="D17" s="60" t="s">
        <v>1174</v>
      </c>
      <c r="E17" s="25"/>
      <c r="F17" s="25"/>
      <c r="G17" s="25"/>
      <c r="H17" s="25"/>
      <c r="I17" s="25"/>
      <c r="J17" s="25"/>
      <c r="K17" s="25"/>
      <c r="L17" s="25"/>
      <c r="M17" s="25"/>
      <c r="N17" s="25"/>
      <c r="O17" s="25"/>
      <c r="P17" s="25"/>
      <c r="Q17" s="25"/>
      <c r="R17" s="25"/>
    </row>
    <row r="18" spans="1:18" x14ac:dyDescent="0.2">
      <c r="A18" s="25"/>
      <c r="B18" s="25"/>
      <c r="C18" s="25"/>
      <c r="D18" s="25"/>
      <c r="E18" s="25"/>
      <c r="F18" s="25"/>
      <c r="G18" s="25"/>
      <c r="H18" s="25"/>
      <c r="I18" s="25"/>
      <c r="J18" s="25"/>
      <c r="K18" s="25"/>
      <c r="L18" s="25"/>
      <c r="M18" s="25"/>
      <c r="N18" s="25"/>
      <c r="O18" s="25"/>
      <c r="P18" s="25"/>
      <c r="Q18" s="25"/>
      <c r="R18" s="25"/>
    </row>
    <row r="19" spans="1:18" x14ac:dyDescent="0.2">
      <c r="A19" s="898" t="str">
        <f>IF(MASTERSWITCH=1,"EVALUATION PERIOD EXPIRED!","")</f>
        <v/>
      </c>
      <c r="B19" s="898"/>
      <c r="C19" s="898"/>
      <c r="D19" s="25"/>
      <c r="E19" s="25"/>
      <c r="F19" s="25"/>
      <c r="G19" s="25"/>
      <c r="H19" s="25"/>
      <c r="I19" s="25"/>
      <c r="J19" s="25"/>
      <c r="K19" s="25"/>
      <c r="L19" s="25"/>
      <c r="M19" s="25"/>
      <c r="N19" s="25"/>
      <c r="O19" s="25"/>
      <c r="P19" s="25"/>
      <c r="Q19" s="25"/>
      <c r="R19" s="25"/>
    </row>
    <row r="20" spans="1:18" x14ac:dyDescent="0.2">
      <c r="A20" s="898" t="str">
        <f>IF(MASTERSWITCH=1,"PLEASE PURCHASE LICENSE TO","")</f>
        <v/>
      </c>
      <c r="B20" s="898"/>
      <c r="C20" s="898"/>
      <c r="E20" s="25"/>
      <c r="F20" s="25"/>
      <c r="G20" s="25"/>
      <c r="H20" s="25"/>
      <c r="J20" s="25"/>
      <c r="K20" s="25"/>
      <c r="L20" s="25"/>
      <c r="M20" s="25"/>
      <c r="N20" s="25"/>
      <c r="O20" s="25"/>
      <c r="P20" s="25"/>
      <c r="Q20" s="25"/>
      <c r="R20" s="25"/>
    </row>
    <row r="21" spans="1:18" x14ac:dyDescent="0.2">
      <c r="A21" s="898" t="str">
        <f>IF(MASTERSWITCH=1,"CONTINUE USING THIS PROGRAM","")</f>
        <v/>
      </c>
      <c r="B21" s="898"/>
      <c r="C21" s="898"/>
      <c r="D21" s="25"/>
      <c r="E21" s="25"/>
      <c r="F21" s="25"/>
      <c r="G21" s="25"/>
      <c r="H21" s="25"/>
      <c r="I21" s="25"/>
      <c r="J21" s="25"/>
      <c r="K21" s="25"/>
      <c r="L21" s="25"/>
      <c r="M21" s="25"/>
      <c r="N21" s="25"/>
      <c r="O21" s="25"/>
      <c r="P21" s="25"/>
      <c r="Q21" s="25"/>
      <c r="R21" s="25"/>
    </row>
    <row r="22" spans="1:18" x14ac:dyDescent="0.2">
      <c r="A22" s="25"/>
      <c r="B22" s="25"/>
      <c r="C22" s="25"/>
      <c r="D22" s="25"/>
      <c r="E22" s="25"/>
      <c r="F22" s="25"/>
      <c r="G22" s="25"/>
      <c r="H22" s="25"/>
      <c r="I22" s="25"/>
      <c r="J22" s="25"/>
      <c r="K22" s="25"/>
      <c r="L22" s="25"/>
      <c r="M22" s="25"/>
      <c r="N22" s="25"/>
      <c r="O22" s="25"/>
      <c r="P22" s="25"/>
      <c r="Q22" s="25"/>
      <c r="R22" s="25"/>
    </row>
    <row r="23" spans="1:18" x14ac:dyDescent="0.2">
      <c r="A23" s="25"/>
      <c r="B23" s="25"/>
      <c r="C23" s="25"/>
      <c r="D23" s="25"/>
      <c r="E23" s="25"/>
      <c r="F23" s="25"/>
      <c r="G23" s="25"/>
      <c r="H23" s="25"/>
      <c r="I23" s="25"/>
      <c r="J23" s="25"/>
      <c r="K23" s="25"/>
      <c r="L23" s="25"/>
      <c r="M23" s="25"/>
      <c r="N23" s="25"/>
      <c r="O23" s="25"/>
      <c r="P23" s="25"/>
      <c r="Q23" s="25"/>
      <c r="R23" s="25"/>
    </row>
    <row r="24" spans="1:18" ht="15.75" x14ac:dyDescent="0.25">
      <c r="A24" s="25"/>
      <c r="B24" s="25"/>
      <c r="C24" s="25"/>
      <c r="D24" s="25"/>
      <c r="E24" s="25"/>
      <c r="F24" s="25"/>
      <c r="G24" s="25"/>
      <c r="H24" s="498">
        <f>LOOKUP(C8,A52:A182,E52:E182)</f>
        <v>6</v>
      </c>
      <c r="I24" s="497" t="s">
        <v>1168</v>
      </c>
      <c r="J24" s="25"/>
      <c r="K24" s="25"/>
      <c r="L24" s="25"/>
      <c r="M24" s="25"/>
      <c r="N24" s="25"/>
      <c r="O24" s="25"/>
      <c r="P24" s="25"/>
      <c r="Q24" s="25"/>
      <c r="R24" s="25"/>
    </row>
    <row r="25" spans="1:18" x14ac:dyDescent="0.2">
      <c r="A25" s="633"/>
      <c r="B25" s="25"/>
      <c r="C25" s="25"/>
      <c r="D25" s="25"/>
      <c r="E25" s="25"/>
      <c r="F25" s="25"/>
      <c r="G25" s="25"/>
      <c r="H25" s="25"/>
      <c r="I25" s="25"/>
      <c r="J25" s="25"/>
      <c r="K25" s="25"/>
      <c r="L25" s="25"/>
      <c r="M25" s="25"/>
      <c r="N25" s="25"/>
      <c r="O25" s="25"/>
      <c r="P25" s="25"/>
      <c r="Q25" s="25"/>
      <c r="R25" s="25"/>
    </row>
    <row r="26" spans="1:18" x14ac:dyDescent="0.2">
      <c r="A26" s="25"/>
      <c r="B26" s="25"/>
      <c r="C26" s="25"/>
      <c r="D26" s="25"/>
      <c r="E26" s="25"/>
      <c r="F26" s="25"/>
      <c r="G26" s="25"/>
      <c r="H26" s="25"/>
      <c r="I26" s="25"/>
      <c r="J26" s="25"/>
      <c r="K26" s="25"/>
      <c r="L26" s="25"/>
      <c r="M26" s="25"/>
      <c r="N26" s="25"/>
      <c r="O26" s="25"/>
      <c r="P26" s="25"/>
      <c r="Q26" s="25"/>
      <c r="R26" s="25"/>
    </row>
    <row r="27" spans="1:18" x14ac:dyDescent="0.2">
      <c r="A27" s="25"/>
      <c r="B27" s="25"/>
      <c r="C27" s="25"/>
      <c r="D27" s="25"/>
      <c r="E27" s="25"/>
      <c r="F27" s="25"/>
      <c r="G27" s="25"/>
      <c r="H27" s="25"/>
      <c r="I27" s="25"/>
      <c r="J27" s="25"/>
      <c r="K27" s="25"/>
      <c r="L27" s="25"/>
      <c r="M27" s="25"/>
      <c r="N27" s="25"/>
      <c r="O27" s="25"/>
      <c r="P27" s="25"/>
      <c r="Q27" s="25"/>
      <c r="R27" s="25"/>
    </row>
    <row r="28" spans="1:18" x14ac:dyDescent="0.2">
      <c r="A28" s="25"/>
      <c r="B28" s="25"/>
      <c r="C28" s="25"/>
      <c r="D28" s="25"/>
      <c r="E28" s="25"/>
      <c r="F28" s="25"/>
      <c r="G28" s="25"/>
      <c r="H28" s="25"/>
      <c r="I28" s="25"/>
      <c r="J28" s="25"/>
      <c r="K28" s="25"/>
      <c r="L28" s="25"/>
      <c r="M28" s="25"/>
      <c r="N28" s="25"/>
      <c r="O28" s="25"/>
      <c r="P28" s="25"/>
      <c r="Q28" s="25"/>
      <c r="R28" s="25"/>
    </row>
    <row r="29" spans="1:18" x14ac:dyDescent="0.2">
      <c r="A29" s="25"/>
      <c r="B29" s="25"/>
      <c r="C29" s="25"/>
      <c r="D29" s="25"/>
      <c r="E29" s="25"/>
      <c r="F29" s="25"/>
      <c r="G29" s="25"/>
      <c r="H29" s="25"/>
      <c r="I29" s="25"/>
      <c r="J29" s="25"/>
      <c r="K29" s="25"/>
      <c r="L29" s="25"/>
      <c r="M29" s="25"/>
      <c r="N29" s="25"/>
      <c r="O29" s="25"/>
      <c r="P29" s="25"/>
      <c r="Q29" s="25"/>
      <c r="R29" s="25"/>
    </row>
    <row r="30" spans="1:18" x14ac:dyDescent="0.2">
      <c r="A30" s="25"/>
      <c r="B30" s="25"/>
      <c r="C30" s="25"/>
      <c r="D30" s="25"/>
      <c r="E30" s="25"/>
      <c r="F30" s="25"/>
      <c r="G30" s="25"/>
      <c r="H30" s="25"/>
      <c r="I30" s="25"/>
      <c r="J30" s="25"/>
      <c r="K30" s="25"/>
      <c r="L30" s="25"/>
      <c r="M30" s="25"/>
      <c r="N30" s="25"/>
      <c r="O30" s="25"/>
      <c r="P30" s="25"/>
      <c r="Q30" s="25"/>
      <c r="R30" s="25"/>
    </row>
    <row r="31" spans="1:18" x14ac:dyDescent="0.2">
      <c r="A31" s="25"/>
      <c r="B31" s="25"/>
      <c r="C31" s="25"/>
      <c r="D31" s="25"/>
      <c r="E31" s="25"/>
      <c r="F31" s="25"/>
      <c r="G31" s="25"/>
      <c r="H31" s="25"/>
      <c r="I31" s="25"/>
      <c r="J31" s="25"/>
      <c r="K31" s="25"/>
      <c r="L31" s="25"/>
      <c r="M31" s="25"/>
      <c r="N31" s="25"/>
      <c r="O31" s="25"/>
      <c r="P31" s="25"/>
      <c r="Q31" s="25"/>
      <c r="R31" s="25"/>
    </row>
    <row r="32" spans="1:18" x14ac:dyDescent="0.2">
      <c r="A32" s="25"/>
      <c r="B32" s="25"/>
      <c r="C32" s="25"/>
      <c r="D32" s="25"/>
      <c r="E32" s="25"/>
      <c r="F32" s="25"/>
      <c r="G32" s="25"/>
      <c r="H32" s="25"/>
      <c r="I32" s="25"/>
      <c r="J32" s="25"/>
      <c r="K32" s="25"/>
      <c r="L32" s="25"/>
      <c r="M32" s="25"/>
      <c r="N32" s="25"/>
      <c r="O32" s="25"/>
      <c r="P32" s="25"/>
      <c r="Q32" s="25"/>
      <c r="R32" s="25"/>
    </row>
    <row r="33" spans="1:18" x14ac:dyDescent="0.2">
      <c r="A33" s="25"/>
      <c r="B33" s="25"/>
      <c r="C33" s="25"/>
      <c r="D33" s="25"/>
      <c r="E33" s="25"/>
      <c r="F33" s="25"/>
      <c r="G33" s="25"/>
      <c r="H33" s="25"/>
      <c r="I33" s="25"/>
      <c r="J33" s="25"/>
      <c r="K33" s="25"/>
      <c r="L33" s="25"/>
      <c r="M33" s="25"/>
      <c r="N33" s="25"/>
      <c r="O33" s="25"/>
      <c r="P33" s="25"/>
      <c r="Q33" s="25"/>
      <c r="R33" s="25"/>
    </row>
    <row r="34" spans="1:18" x14ac:dyDescent="0.2">
      <c r="A34" s="25"/>
      <c r="B34" s="25"/>
      <c r="C34" s="25"/>
      <c r="D34" s="25"/>
      <c r="E34" s="25"/>
      <c r="F34" s="25"/>
      <c r="G34" s="25"/>
      <c r="H34" s="25"/>
      <c r="I34" s="25"/>
      <c r="J34" s="25"/>
      <c r="K34" s="25"/>
      <c r="L34" s="25"/>
      <c r="M34" s="25"/>
      <c r="N34" s="25"/>
      <c r="O34" s="25"/>
      <c r="P34" s="25"/>
      <c r="Q34" s="25"/>
      <c r="R34" s="25"/>
    </row>
    <row r="35" spans="1:18" x14ac:dyDescent="0.2">
      <c r="A35" s="25"/>
      <c r="B35" s="25"/>
      <c r="C35" s="25"/>
      <c r="D35" s="25"/>
      <c r="E35" s="25"/>
      <c r="F35" s="25"/>
      <c r="G35" s="25"/>
      <c r="H35" s="25"/>
      <c r="I35" s="25"/>
      <c r="J35" s="25"/>
      <c r="K35" s="25"/>
      <c r="L35" s="25"/>
      <c r="M35" s="25"/>
      <c r="N35" s="25"/>
      <c r="O35" s="25"/>
      <c r="P35" s="25"/>
      <c r="Q35" s="25"/>
      <c r="R35" s="25"/>
    </row>
    <row r="36" spans="1:18" x14ac:dyDescent="0.2">
      <c r="A36" s="25"/>
      <c r="B36" s="25"/>
      <c r="C36" s="25"/>
      <c r="D36" s="25"/>
      <c r="E36" s="25"/>
      <c r="F36" s="25"/>
      <c r="G36" s="25"/>
      <c r="H36" s="25"/>
      <c r="I36" s="25"/>
      <c r="J36" s="25"/>
      <c r="K36" s="25"/>
      <c r="L36" s="25"/>
      <c r="M36" s="25"/>
      <c r="N36" s="25"/>
      <c r="O36" s="25"/>
      <c r="P36" s="25"/>
      <c r="Q36" s="25"/>
      <c r="R36" s="25"/>
    </row>
    <row r="37" spans="1:18" x14ac:dyDescent="0.2">
      <c r="A37" s="25"/>
      <c r="B37" s="25"/>
      <c r="C37" s="25"/>
      <c r="D37" s="25"/>
      <c r="E37" s="25"/>
      <c r="F37" s="25"/>
      <c r="G37" s="25"/>
      <c r="H37" s="25"/>
      <c r="I37" s="25"/>
      <c r="J37" s="25"/>
      <c r="K37" s="25"/>
      <c r="L37" s="25"/>
      <c r="M37" s="25"/>
      <c r="N37" s="25"/>
      <c r="O37" s="25"/>
      <c r="P37" s="25"/>
      <c r="Q37" s="25"/>
      <c r="R37" s="25"/>
    </row>
    <row r="38" spans="1:18" x14ac:dyDescent="0.2">
      <c r="A38" s="25"/>
      <c r="B38" s="25"/>
      <c r="C38" s="25"/>
      <c r="D38" s="25"/>
      <c r="E38" s="25"/>
      <c r="F38" s="25"/>
      <c r="G38" s="25"/>
      <c r="H38" s="25"/>
      <c r="I38" s="25"/>
      <c r="J38" s="25"/>
      <c r="K38" s="25"/>
      <c r="L38" s="25"/>
      <c r="M38" s="25"/>
      <c r="N38" s="25"/>
      <c r="O38" s="25"/>
      <c r="P38" s="25"/>
      <c r="Q38" s="25"/>
      <c r="R38" s="25"/>
    </row>
    <row r="39" spans="1:18" x14ac:dyDescent="0.2">
      <c r="A39" s="25"/>
      <c r="B39" s="25"/>
      <c r="C39" s="25"/>
      <c r="D39" s="25"/>
      <c r="E39" s="25"/>
      <c r="F39" s="25"/>
      <c r="G39" s="25"/>
      <c r="H39" s="25"/>
      <c r="I39" s="25"/>
      <c r="J39" s="25"/>
      <c r="K39" s="25"/>
      <c r="L39" s="25"/>
      <c r="M39" s="25"/>
      <c r="N39" s="25"/>
      <c r="O39" s="25"/>
      <c r="P39" s="25"/>
      <c r="Q39" s="25"/>
      <c r="R39" s="25"/>
    </row>
    <row r="40" spans="1:18" x14ac:dyDescent="0.2">
      <c r="A40" s="25"/>
      <c r="B40" s="25"/>
      <c r="C40" s="25"/>
      <c r="D40" s="25"/>
      <c r="E40" s="25"/>
      <c r="F40" s="25"/>
      <c r="G40" s="25"/>
      <c r="H40" s="25"/>
      <c r="I40" s="25"/>
      <c r="J40" s="25"/>
      <c r="K40" s="25"/>
      <c r="L40" s="25"/>
      <c r="M40" s="25"/>
      <c r="N40" s="25"/>
      <c r="O40" s="25"/>
      <c r="P40" s="25"/>
      <c r="Q40" s="25"/>
      <c r="R40" s="25"/>
    </row>
    <row r="41" spans="1:18" x14ac:dyDescent="0.2">
      <c r="A41" s="25"/>
      <c r="B41" s="25"/>
      <c r="C41" s="25"/>
      <c r="D41" s="25"/>
      <c r="E41" s="25"/>
      <c r="F41" s="25"/>
      <c r="G41" s="25"/>
      <c r="H41" s="25"/>
      <c r="I41" s="25"/>
      <c r="J41" s="25"/>
      <c r="K41" s="25"/>
      <c r="L41" s="25"/>
      <c r="M41" s="25"/>
      <c r="N41" s="25"/>
      <c r="O41" s="25"/>
      <c r="P41" s="25"/>
      <c r="Q41" s="25"/>
      <c r="R41" s="25"/>
    </row>
    <row r="42" spans="1:18" x14ac:dyDescent="0.2">
      <c r="A42" s="25"/>
      <c r="B42" s="25"/>
      <c r="C42" s="25"/>
      <c r="D42" s="25"/>
      <c r="E42" s="25"/>
      <c r="F42" s="25"/>
      <c r="G42" s="25"/>
      <c r="H42" s="25"/>
      <c r="I42" s="25"/>
      <c r="J42" s="25"/>
      <c r="K42" s="25"/>
      <c r="L42" s="25"/>
      <c r="M42" s="25"/>
      <c r="N42" s="25"/>
      <c r="O42" s="25"/>
      <c r="P42" s="25"/>
      <c r="Q42" s="25"/>
      <c r="R42" s="25"/>
    </row>
    <row r="43" spans="1:18" x14ac:dyDescent="0.2">
      <c r="A43" s="25"/>
      <c r="B43" s="25"/>
      <c r="C43" s="25"/>
      <c r="D43" s="25"/>
      <c r="E43" s="25"/>
      <c r="F43" s="25"/>
      <c r="G43" s="25"/>
      <c r="H43" s="25"/>
      <c r="I43" s="25"/>
      <c r="J43" s="25"/>
      <c r="K43" s="25"/>
      <c r="L43" s="25"/>
      <c r="M43" s="25"/>
      <c r="N43" s="25"/>
      <c r="O43" s="25"/>
      <c r="P43" s="25"/>
      <c r="Q43" s="25"/>
      <c r="R43" s="25"/>
    </row>
    <row r="44" spans="1:18" x14ac:dyDescent="0.2">
      <c r="A44" s="25"/>
      <c r="B44" s="25"/>
      <c r="C44" s="25"/>
      <c r="D44" s="25"/>
      <c r="E44" s="25"/>
      <c r="F44" s="25"/>
      <c r="G44" s="25"/>
      <c r="H44" s="25"/>
      <c r="I44" s="25"/>
      <c r="J44" s="25"/>
      <c r="K44" s="25"/>
      <c r="L44" s="25"/>
      <c r="M44" s="25"/>
      <c r="N44" s="25"/>
      <c r="O44" s="25"/>
      <c r="P44" s="25"/>
      <c r="Q44" s="25"/>
      <c r="R44" s="25"/>
    </row>
    <row r="45" spans="1:18" x14ac:dyDescent="0.2">
      <c r="A45" s="25"/>
      <c r="B45" s="25"/>
      <c r="C45" s="25"/>
      <c r="D45" s="25"/>
      <c r="E45" s="25"/>
      <c r="F45" s="25"/>
      <c r="G45" s="25"/>
      <c r="H45" s="25"/>
      <c r="I45" s="25"/>
      <c r="J45" s="25"/>
      <c r="K45" s="25"/>
      <c r="L45" s="25"/>
      <c r="M45" s="25"/>
      <c r="N45" s="25"/>
      <c r="O45" s="25"/>
      <c r="P45" s="25"/>
      <c r="Q45" s="25"/>
      <c r="R45" s="25"/>
    </row>
    <row r="46" spans="1:18" x14ac:dyDescent="0.2">
      <c r="A46" s="25"/>
      <c r="B46" s="25"/>
      <c r="C46" s="25"/>
      <c r="D46" s="25"/>
      <c r="E46" s="25"/>
      <c r="F46" s="25"/>
      <c r="G46" s="25"/>
      <c r="H46" s="25"/>
      <c r="I46" s="25"/>
      <c r="J46" s="25"/>
      <c r="K46" s="25"/>
      <c r="L46" s="25"/>
      <c r="M46" s="25"/>
      <c r="N46" s="25"/>
      <c r="O46" s="25"/>
      <c r="P46" s="25"/>
      <c r="Q46" s="25"/>
      <c r="R46" s="25"/>
    </row>
    <row r="47" spans="1:18" x14ac:dyDescent="0.2">
      <c r="A47" s="25"/>
      <c r="B47" s="25"/>
      <c r="C47" s="25"/>
      <c r="D47" s="25"/>
      <c r="E47" s="25"/>
      <c r="F47" s="25"/>
      <c r="G47" s="25"/>
      <c r="H47" s="25"/>
      <c r="I47" s="25"/>
      <c r="J47" s="25"/>
      <c r="K47" s="25"/>
      <c r="L47" s="25"/>
      <c r="M47" s="25"/>
      <c r="N47" s="25"/>
      <c r="O47" s="25"/>
      <c r="P47" s="25"/>
      <c r="Q47" s="25"/>
      <c r="R47" s="25"/>
    </row>
    <row r="48" spans="1:18" x14ac:dyDescent="0.2">
      <c r="A48" s="25"/>
      <c r="B48" s="25"/>
      <c r="C48" s="25"/>
      <c r="D48" s="25"/>
      <c r="E48" s="25"/>
      <c r="F48" s="25"/>
      <c r="G48" s="25"/>
      <c r="H48" s="25"/>
      <c r="I48" s="25"/>
      <c r="J48" s="25"/>
      <c r="K48" s="25"/>
      <c r="L48" s="25"/>
      <c r="M48" s="25"/>
      <c r="N48" s="25"/>
      <c r="O48" s="25"/>
      <c r="P48" s="25"/>
      <c r="Q48" s="25"/>
      <c r="R48" s="25"/>
    </row>
    <row r="49" spans="1:18" x14ac:dyDescent="0.2">
      <c r="A49" s="25"/>
      <c r="B49" s="25"/>
      <c r="C49" s="25"/>
      <c r="D49" s="25"/>
      <c r="E49" s="25"/>
      <c r="F49" s="25"/>
      <c r="G49" s="25"/>
      <c r="H49" s="25"/>
      <c r="I49" s="25"/>
      <c r="J49" s="25"/>
      <c r="K49" s="25"/>
      <c r="L49" s="25"/>
      <c r="M49" s="25"/>
      <c r="N49" s="25"/>
      <c r="O49" s="25"/>
      <c r="P49" s="25"/>
      <c r="Q49" s="25"/>
      <c r="R49" s="25"/>
    </row>
    <row r="50" spans="1:18" x14ac:dyDescent="0.2">
      <c r="B50" s="503" t="s">
        <v>1390</v>
      </c>
      <c r="C50" s="484" t="s">
        <v>754</v>
      </c>
      <c r="D50" s="485" t="s">
        <v>1387</v>
      </c>
      <c r="E50" s="485" t="s">
        <v>1166</v>
      </c>
      <c r="F50" s="485" t="s">
        <v>1388</v>
      </c>
      <c r="G50" s="485" t="s">
        <v>1389</v>
      </c>
      <c r="H50" s="25"/>
      <c r="I50" s="25"/>
      <c r="J50" s="25"/>
      <c r="K50" s="25"/>
      <c r="L50" s="25"/>
      <c r="M50" s="25"/>
      <c r="N50" s="25"/>
      <c r="O50" s="25"/>
      <c r="P50" s="25"/>
      <c r="Q50" s="25"/>
      <c r="R50" s="25"/>
    </row>
    <row r="51" spans="1:18" x14ac:dyDescent="0.2">
      <c r="B51" s="504" t="s">
        <v>1391</v>
      </c>
      <c r="C51" s="486" t="s">
        <v>1133</v>
      </c>
      <c r="D51" s="486" t="s">
        <v>1134</v>
      </c>
      <c r="E51" s="486" t="s">
        <v>1134</v>
      </c>
      <c r="F51" s="486" t="s">
        <v>1134</v>
      </c>
      <c r="G51" s="486"/>
      <c r="H51" s="25"/>
      <c r="I51" s="25"/>
      <c r="J51" s="25"/>
      <c r="K51" s="25"/>
      <c r="L51" s="25"/>
      <c r="M51" s="25"/>
      <c r="N51" s="25"/>
      <c r="O51" s="25"/>
      <c r="P51" s="25"/>
      <c r="Q51" s="25"/>
      <c r="R51" s="25"/>
    </row>
    <row r="52" spans="1:18" ht="15.75" x14ac:dyDescent="0.25">
      <c r="A52" s="488">
        <v>1</v>
      </c>
      <c r="B52" s="505" t="s">
        <v>1392</v>
      </c>
      <c r="C52" s="483">
        <v>16.7</v>
      </c>
      <c r="D52" s="500">
        <v>8</v>
      </c>
      <c r="E52" s="500">
        <v>8</v>
      </c>
      <c r="F52" s="506">
        <v>1.125</v>
      </c>
      <c r="G52" s="483">
        <v>56.9</v>
      </c>
      <c r="H52" s="25"/>
      <c r="I52" s="25"/>
      <c r="J52" s="25"/>
      <c r="K52" s="25"/>
      <c r="L52" s="25"/>
      <c r="M52" s="25"/>
      <c r="N52" s="25"/>
      <c r="O52" s="25"/>
      <c r="P52" s="25"/>
      <c r="Q52" s="25"/>
      <c r="R52" s="25"/>
    </row>
    <row r="53" spans="1:18" x14ac:dyDescent="0.2">
      <c r="A53" s="488">
        <v>2</v>
      </c>
      <c r="B53" s="505" t="s">
        <v>1393</v>
      </c>
      <c r="C53" s="483">
        <v>15</v>
      </c>
      <c r="D53" s="500">
        <v>8</v>
      </c>
      <c r="E53" s="500">
        <v>8</v>
      </c>
      <c r="F53" s="506">
        <v>1</v>
      </c>
      <c r="G53" s="483">
        <v>51</v>
      </c>
      <c r="H53" s="25"/>
      <c r="I53" s="25"/>
      <c r="J53" s="25"/>
      <c r="K53" s="25"/>
      <c r="L53" s="25"/>
      <c r="M53" s="25"/>
      <c r="N53" s="25"/>
      <c r="O53" s="25"/>
      <c r="P53" s="25"/>
      <c r="Q53" s="25"/>
      <c r="R53" s="25"/>
    </row>
    <row r="54" spans="1:18" ht="15.75" x14ac:dyDescent="0.25">
      <c r="A54" s="488">
        <v>3</v>
      </c>
      <c r="B54" s="505" t="s">
        <v>1394</v>
      </c>
      <c r="C54" s="483">
        <v>13.2</v>
      </c>
      <c r="D54" s="500">
        <v>8</v>
      </c>
      <c r="E54" s="500">
        <v>8</v>
      </c>
      <c r="F54" s="506">
        <v>0.875</v>
      </c>
      <c r="G54" s="483">
        <v>45</v>
      </c>
      <c r="H54" s="25"/>
      <c r="I54" s="25"/>
      <c r="J54" s="25"/>
      <c r="K54" s="25"/>
      <c r="L54" s="25"/>
      <c r="M54" s="25"/>
      <c r="N54" s="25"/>
      <c r="O54" s="25"/>
      <c r="P54" s="25"/>
      <c r="Q54" s="25"/>
      <c r="R54" s="25"/>
    </row>
    <row r="55" spans="1:18" ht="15.75" x14ac:dyDescent="0.25">
      <c r="A55" s="488">
        <v>4</v>
      </c>
      <c r="B55" s="505" t="s">
        <v>1395</v>
      </c>
      <c r="C55" s="483">
        <v>11.4</v>
      </c>
      <c r="D55" s="500">
        <v>8</v>
      </c>
      <c r="E55" s="500">
        <v>8</v>
      </c>
      <c r="F55" s="506">
        <v>0.75</v>
      </c>
      <c r="G55" s="483">
        <v>38.9</v>
      </c>
      <c r="H55" s="25"/>
      <c r="I55" s="25"/>
      <c r="J55" s="25"/>
      <c r="K55" s="25"/>
      <c r="L55" s="25"/>
      <c r="M55" s="25"/>
      <c r="N55" s="25"/>
      <c r="O55" s="25"/>
      <c r="P55" s="25"/>
      <c r="Q55" s="25"/>
      <c r="R55" s="25"/>
    </row>
    <row r="56" spans="1:18" ht="15.75" x14ac:dyDescent="0.25">
      <c r="A56" s="488">
        <v>5</v>
      </c>
      <c r="B56" s="505" t="s">
        <v>1396</v>
      </c>
      <c r="C56" s="483">
        <v>9.61</v>
      </c>
      <c r="D56" s="500">
        <v>8</v>
      </c>
      <c r="E56" s="500">
        <v>8</v>
      </c>
      <c r="F56" s="506">
        <v>0.625</v>
      </c>
      <c r="G56" s="483">
        <v>32.700000000000003</v>
      </c>
      <c r="H56" s="25"/>
      <c r="I56" s="25"/>
      <c r="J56" s="25"/>
      <c r="K56" s="25"/>
      <c r="L56" s="25"/>
      <c r="M56" s="25"/>
      <c r="N56" s="25"/>
      <c r="O56" s="25"/>
      <c r="P56" s="25"/>
      <c r="Q56" s="25"/>
      <c r="R56" s="25"/>
    </row>
    <row r="57" spans="1:18" ht="15.75" x14ac:dyDescent="0.25">
      <c r="A57" s="488">
        <v>6</v>
      </c>
      <c r="B57" s="505" t="s">
        <v>1397</v>
      </c>
      <c r="C57" s="483">
        <v>8.68</v>
      </c>
      <c r="D57" s="500">
        <v>8</v>
      </c>
      <c r="E57" s="500">
        <v>8</v>
      </c>
      <c r="F57" s="506">
        <v>0.5625</v>
      </c>
      <c r="G57" s="483">
        <v>29.6</v>
      </c>
      <c r="H57" s="25"/>
      <c r="I57" s="25"/>
      <c r="J57" s="25"/>
      <c r="K57" s="25"/>
      <c r="L57" s="25"/>
      <c r="M57" s="25"/>
      <c r="N57" s="25"/>
      <c r="O57" s="25"/>
      <c r="P57" s="25"/>
      <c r="Q57" s="25"/>
      <c r="R57" s="25"/>
    </row>
    <row r="58" spans="1:18" ht="15.75" x14ac:dyDescent="0.25">
      <c r="A58" s="488">
        <v>7</v>
      </c>
      <c r="B58" s="505" t="s">
        <v>1398</v>
      </c>
      <c r="C58" s="483">
        <v>7.75</v>
      </c>
      <c r="D58" s="500">
        <v>8</v>
      </c>
      <c r="E58" s="500">
        <v>8</v>
      </c>
      <c r="F58" s="506">
        <v>0.5</v>
      </c>
      <c r="G58" s="483">
        <v>26.4</v>
      </c>
      <c r="H58" s="25"/>
      <c r="I58" s="25"/>
      <c r="J58" s="25"/>
      <c r="K58" s="25"/>
      <c r="L58" s="25"/>
      <c r="M58" s="25"/>
      <c r="N58" s="25"/>
      <c r="O58" s="25"/>
      <c r="P58" s="25"/>
      <c r="Q58" s="25"/>
      <c r="R58" s="25"/>
    </row>
    <row r="59" spans="1:18" x14ac:dyDescent="0.2">
      <c r="A59" s="488">
        <v>8</v>
      </c>
      <c r="B59" s="505" t="s">
        <v>1399</v>
      </c>
      <c r="C59" s="483">
        <v>11</v>
      </c>
      <c r="D59" s="500">
        <v>6</v>
      </c>
      <c r="E59" s="500">
        <v>6</v>
      </c>
      <c r="F59" s="506">
        <v>1</v>
      </c>
      <c r="G59" s="483">
        <v>37.4</v>
      </c>
      <c r="H59" s="25"/>
      <c r="I59" s="25"/>
      <c r="J59" s="25"/>
      <c r="K59" s="25"/>
      <c r="L59" s="25"/>
      <c r="M59" s="25"/>
      <c r="N59" s="25"/>
      <c r="O59" s="25"/>
      <c r="P59" s="25"/>
      <c r="Q59" s="25"/>
      <c r="R59" s="25"/>
    </row>
    <row r="60" spans="1:18" ht="15.75" x14ac:dyDescent="0.25">
      <c r="A60" s="488">
        <v>9</v>
      </c>
      <c r="B60" s="505" t="s">
        <v>1400</v>
      </c>
      <c r="C60" s="483">
        <v>9.73</v>
      </c>
      <c r="D60" s="500">
        <v>6</v>
      </c>
      <c r="E60" s="500">
        <v>6</v>
      </c>
      <c r="F60" s="506">
        <v>0.875</v>
      </c>
      <c r="G60" s="483">
        <v>33.1</v>
      </c>
      <c r="H60" s="25"/>
      <c r="I60" s="25"/>
      <c r="J60" s="25"/>
      <c r="K60" s="25"/>
      <c r="L60" s="25"/>
      <c r="M60" s="25"/>
      <c r="N60" s="25"/>
      <c r="O60" s="25"/>
      <c r="P60" s="25"/>
      <c r="Q60" s="25"/>
      <c r="R60" s="25"/>
    </row>
    <row r="61" spans="1:18" ht="15.75" x14ac:dyDescent="0.25">
      <c r="A61" s="488">
        <v>10</v>
      </c>
      <c r="B61" s="505" t="s">
        <v>1401</v>
      </c>
      <c r="C61" s="483">
        <v>8.44</v>
      </c>
      <c r="D61" s="500">
        <v>6</v>
      </c>
      <c r="E61" s="500">
        <v>6</v>
      </c>
      <c r="F61" s="506">
        <v>0.75</v>
      </c>
      <c r="G61" s="483">
        <v>28.7</v>
      </c>
      <c r="H61" s="25"/>
      <c r="I61" s="25"/>
      <c r="J61" s="25"/>
      <c r="K61" s="25"/>
      <c r="L61" s="25"/>
      <c r="M61" s="25"/>
      <c r="N61" s="25"/>
      <c r="O61" s="25"/>
      <c r="P61" s="25"/>
      <c r="Q61" s="25"/>
      <c r="R61" s="25"/>
    </row>
    <row r="62" spans="1:18" ht="15.75" x14ac:dyDescent="0.25">
      <c r="A62" s="488">
        <v>11</v>
      </c>
      <c r="B62" s="505" t="s">
        <v>1402</v>
      </c>
      <c r="C62" s="483">
        <v>7.11</v>
      </c>
      <c r="D62" s="500">
        <v>6</v>
      </c>
      <c r="E62" s="500">
        <v>6</v>
      </c>
      <c r="F62" s="506">
        <v>0.625</v>
      </c>
      <c r="G62" s="483">
        <v>24.2</v>
      </c>
      <c r="H62" s="25"/>
      <c r="I62" s="25"/>
      <c r="J62" s="25"/>
      <c r="K62" s="25"/>
      <c r="L62" s="25"/>
      <c r="M62" s="25"/>
      <c r="N62" s="25"/>
      <c r="O62" s="25"/>
      <c r="P62" s="25"/>
      <c r="Q62" s="25"/>
      <c r="R62" s="25"/>
    </row>
    <row r="63" spans="1:18" ht="15.75" x14ac:dyDescent="0.25">
      <c r="A63" s="488">
        <v>12</v>
      </c>
      <c r="B63" s="505" t="s">
        <v>1403</v>
      </c>
      <c r="C63" s="483">
        <v>6.43</v>
      </c>
      <c r="D63" s="500">
        <v>6</v>
      </c>
      <c r="E63" s="500">
        <v>6</v>
      </c>
      <c r="F63" s="506">
        <v>0.5625</v>
      </c>
      <c r="G63" s="483">
        <v>21.9</v>
      </c>
      <c r="H63" s="25"/>
      <c r="I63" s="25"/>
      <c r="J63" s="25"/>
      <c r="K63" s="25"/>
      <c r="L63" s="25"/>
      <c r="M63" s="25"/>
      <c r="N63" s="25"/>
      <c r="O63" s="25"/>
      <c r="P63" s="25"/>
      <c r="Q63" s="25"/>
      <c r="R63" s="25"/>
    </row>
    <row r="64" spans="1:18" ht="15.75" x14ac:dyDescent="0.25">
      <c r="A64" s="488">
        <v>13</v>
      </c>
      <c r="B64" s="505" t="s">
        <v>1404</v>
      </c>
      <c r="C64" s="483">
        <v>5.75</v>
      </c>
      <c r="D64" s="500">
        <v>6</v>
      </c>
      <c r="E64" s="500">
        <v>6</v>
      </c>
      <c r="F64" s="506">
        <v>0.5</v>
      </c>
      <c r="G64" s="483">
        <v>19.600000000000001</v>
      </c>
      <c r="H64" s="25"/>
      <c r="I64" s="25"/>
      <c r="J64" s="25"/>
      <c r="K64" s="25"/>
      <c r="L64" s="25"/>
      <c r="M64" s="25"/>
      <c r="N64" s="25"/>
      <c r="O64" s="25"/>
      <c r="P64" s="25"/>
      <c r="Q64" s="25"/>
      <c r="R64" s="25"/>
    </row>
    <row r="65" spans="1:18" ht="15.75" x14ac:dyDescent="0.25">
      <c r="A65" s="488">
        <v>14</v>
      </c>
      <c r="B65" s="505" t="s">
        <v>1405</v>
      </c>
      <c r="C65" s="483">
        <v>5.0599999999999996</v>
      </c>
      <c r="D65" s="500">
        <v>6</v>
      </c>
      <c r="E65" s="500">
        <v>6</v>
      </c>
      <c r="F65" s="506">
        <v>0.4375</v>
      </c>
      <c r="G65" s="483">
        <v>17.2</v>
      </c>
      <c r="H65" s="25"/>
      <c r="I65" s="25"/>
      <c r="J65" s="25"/>
      <c r="K65" s="25"/>
      <c r="L65" s="25"/>
      <c r="M65" s="25"/>
      <c r="N65" s="25"/>
      <c r="O65" s="25"/>
      <c r="P65" s="25"/>
      <c r="Q65" s="25"/>
      <c r="R65" s="25"/>
    </row>
    <row r="66" spans="1:18" ht="15.75" x14ac:dyDescent="0.25">
      <c r="A66" s="488">
        <v>15</v>
      </c>
      <c r="B66" s="505" t="s">
        <v>1406</v>
      </c>
      <c r="C66" s="483">
        <v>4.3600000000000003</v>
      </c>
      <c r="D66" s="500">
        <v>6</v>
      </c>
      <c r="E66" s="500">
        <v>6</v>
      </c>
      <c r="F66" s="506">
        <v>0.375</v>
      </c>
      <c r="G66" s="483">
        <v>14.9</v>
      </c>
      <c r="H66" s="25"/>
      <c r="I66" s="25"/>
      <c r="J66" s="25"/>
      <c r="K66" s="25"/>
      <c r="L66" s="25"/>
      <c r="M66" s="25"/>
      <c r="N66" s="25"/>
      <c r="O66" s="25"/>
      <c r="P66" s="25"/>
      <c r="Q66" s="25"/>
      <c r="R66" s="25"/>
    </row>
    <row r="67" spans="1:18" ht="15.75" x14ac:dyDescent="0.25">
      <c r="A67" s="488">
        <v>16</v>
      </c>
      <c r="B67" s="505" t="s">
        <v>1407</v>
      </c>
      <c r="C67" s="483">
        <v>3.65</v>
      </c>
      <c r="D67" s="500">
        <v>6</v>
      </c>
      <c r="E67" s="500">
        <v>6</v>
      </c>
      <c r="F67" s="506">
        <v>0.3125</v>
      </c>
      <c r="G67" s="483">
        <v>12.4</v>
      </c>
      <c r="H67" s="25"/>
      <c r="I67" s="25"/>
      <c r="J67" s="25"/>
      <c r="K67" s="25"/>
      <c r="L67" s="25"/>
      <c r="M67" s="25"/>
      <c r="N67" s="25"/>
      <c r="O67" s="25"/>
      <c r="P67" s="25"/>
      <c r="Q67" s="25"/>
      <c r="R67" s="25"/>
    </row>
    <row r="68" spans="1:18" ht="15.75" x14ac:dyDescent="0.25">
      <c r="A68" s="488">
        <v>17</v>
      </c>
      <c r="B68" s="505" t="s">
        <v>1408</v>
      </c>
      <c r="C68" s="483">
        <v>7.98</v>
      </c>
      <c r="D68" s="500">
        <v>5</v>
      </c>
      <c r="E68" s="500">
        <v>5</v>
      </c>
      <c r="F68" s="506">
        <v>0.875</v>
      </c>
      <c r="G68" s="483">
        <v>27.2</v>
      </c>
      <c r="H68" s="25"/>
      <c r="I68" s="25"/>
      <c r="J68" s="25"/>
      <c r="K68" s="25"/>
      <c r="L68" s="25"/>
      <c r="M68" s="25"/>
      <c r="N68" s="25"/>
      <c r="O68" s="25"/>
      <c r="P68" s="25"/>
      <c r="Q68" s="25"/>
      <c r="R68" s="25"/>
    </row>
    <row r="69" spans="1:18" ht="15.75" x14ac:dyDescent="0.25">
      <c r="A69" s="488">
        <v>18</v>
      </c>
      <c r="B69" s="505" t="s">
        <v>1409</v>
      </c>
      <c r="C69" s="483">
        <v>6.94</v>
      </c>
      <c r="D69" s="500">
        <v>5</v>
      </c>
      <c r="E69" s="500">
        <v>5</v>
      </c>
      <c r="F69" s="506">
        <v>0.75</v>
      </c>
      <c r="G69" s="483">
        <v>23.6</v>
      </c>
      <c r="H69" s="25"/>
      <c r="I69" s="25"/>
      <c r="J69" s="25"/>
      <c r="K69" s="25"/>
      <c r="L69" s="25"/>
      <c r="M69" s="25"/>
      <c r="N69" s="25"/>
      <c r="O69" s="25"/>
      <c r="P69" s="25"/>
      <c r="Q69" s="25"/>
      <c r="R69" s="25"/>
    </row>
    <row r="70" spans="1:18" ht="15.75" x14ac:dyDescent="0.25">
      <c r="A70" s="488">
        <v>19</v>
      </c>
      <c r="B70" s="505" t="s">
        <v>1410</v>
      </c>
      <c r="C70" s="483">
        <v>5.86</v>
      </c>
      <c r="D70" s="500">
        <v>5</v>
      </c>
      <c r="E70" s="500">
        <v>5</v>
      </c>
      <c r="F70" s="506">
        <v>0.625</v>
      </c>
      <c r="G70" s="483">
        <v>20</v>
      </c>
      <c r="H70" s="25"/>
      <c r="I70" s="25"/>
      <c r="J70" s="25"/>
      <c r="K70" s="25"/>
      <c r="L70" s="25"/>
      <c r="M70" s="25"/>
      <c r="N70" s="25"/>
      <c r="O70" s="25"/>
      <c r="P70" s="25"/>
      <c r="Q70" s="25"/>
      <c r="R70" s="25"/>
    </row>
    <row r="71" spans="1:18" ht="15.75" x14ac:dyDescent="0.25">
      <c r="A71" s="488">
        <v>20</v>
      </c>
      <c r="B71" s="505" t="s">
        <v>1411</v>
      </c>
      <c r="C71" s="483">
        <v>4.75</v>
      </c>
      <c r="D71" s="500">
        <v>5</v>
      </c>
      <c r="E71" s="500">
        <v>5</v>
      </c>
      <c r="F71" s="506">
        <v>0.5</v>
      </c>
      <c r="G71" s="483">
        <v>16.2</v>
      </c>
      <c r="H71" s="25"/>
      <c r="I71" s="25"/>
      <c r="J71" s="25"/>
      <c r="K71" s="25"/>
      <c r="L71" s="25"/>
      <c r="M71" s="25"/>
      <c r="N71" s="25"/>
      <c r="O71" s="25"/>
      <c r="P71" s="25"/>
      <c r="Q71" s="25"/>
      <c r="R71" s="25"/>
    </row>
    <row r="72" spans="1:18" ht="15.75" x14ac:dyDescent="0.25">
      <c r="A72" s="488">
        <v>21</v>
      </c>
      <c r="B72" s="505" t="s">
        <v>1412</v>
      </c>
      <c r="C72" s="483">
        <v>4.18</v>
      </c>
      <c r="D72" s="500">
        <v>5</v>
      </c>
      <c r="E72" s="500">
        <v>5</v>
      </c>
      <c r="F72" s="506">
        <v>0.4375</v>
      </c>
      <c r="G72" s="483">
        <v>14.3</v>
      </c>
      <c r="H72" s="25"/>
      <c r="I72" s="25"/>
      <c r="J72" s="25"/>
      <c r="K72" s="25"/>
      <c r="L72" s="25"/>
      <c r="M72" s="25"/>
      <c r="N72" s="25"/>
      <c r="O72" s="25"/>
      <c r="P72" s="25"/>
      <c r="Q72" s="25"/>
      <c r="R72" s="25"/>
    </row>
    <row r="73" spans="1:18" ht="15.75" x14ac:dyDescent="0.25">
      <c r="A73" s="488">
        <v>22</v>
      </c>
      <c r="B73" s="505" t="s">
        <v>1413</v>
      </c>
      <c r="C73" s="483">
        <v>3.61</v>
      </c>
      <c r="D73" s="500">
        <v>5</v>
      </c>
      <c r="E73" s="500">
        <v>5</v>
      </c>
      <c r="F73" s="506">
        <v>0.375</v>
      </c>
      <c r="G73" s="483">
        <v>12.3</v>
      </c>
      <c r="H73" s="25"/>
      <c r="I73" s="25"/>
      <c r="J73" s="25"/>
      <c r="K73" s="25"/>
      <c r="L73" s="25"/>
      <c r="M73" s="25"/>
      <c r="N73" s="25"/>
      <c r="O73" s="25"/>
      <c r="P73" s="25"/>
      <c r="Q73" s="25"/>
      <c r="R73" s="25"/>
    </row>
    <row r="74" spans="1:18" ht="15.75" x14ac:dyDescent="0.25">
      <c r="A74" s="488">
        <v>23</v>
      </c>
      <c r="B74" s="505" t="s">
        <v>1414</v>
      </c>
      <c r="C74" s="483">
        <v>3.03</v>
      </c>
      <c r="D74" s="500">
        <v>5</v>
      </c>
      <c r="E74" s="500">
        <v>5</v>
      </c>
      <c r="F74" s="506">
        <v>0.3125</v>
      </c>
      <c r="G74" s="483">
        <v>10.3</v>
      </c>
      <c r="H74" s="25"/>
      <c r="I74" s="25"/>
      <c r="J74" s="25"/>
      <c r="K74" s="25"/>
      <c r="L74" s="25"/>
      <c r="M74" s="25"/>
      <c r="N74" s="25"/>
      <c r="O74" s="25"/>
      <c r="P74" s="25"/>
      <c r="Q74" s="25"/>
      <c r="R74" s="25"/>
    </row>
    <row r="75" spans="1:18" ht="15.75" x14ac:dyDescent="0.25">
      <c r="A75" s="488">
        <v>24</v>
      </c>
      <c r="B75" s="505" t="s">
        <v>1415</v>
      </c>
      <c r="C75" s="483">
        <v>5.44</v>
      </c>
      <c r="D75" s="500">
        <v>4</v>
      </c>
      <c r="E75" s="500">
        <v>4</v>
      </c>
      <c r="F75" s="506">
        <v>0.75</v>
      </c>
      <c r="G75" s="483">
        <v>18.5</v>
      </c>
      <c r="H75" s="25"/>
      <c r="I75" s="25"/>
      <c r="J75" s="25"/>
      <c r="K75" s="25"/>
      <c r="L75" s="25"/>
      <c r="M75" s="25"/>
      <c r="N75" s="25"/>
      <c r="O75" s="25"/>
      <c r="P75" s="25"/>
      <c r="Q75" s="25"/>
      <c r="R75" s="25"/>
    </row>
    <row r="76" spans="1:18" ht="15.75" x14ac:dyDescent="0.25">
      <c r="A76" s="488">
        <v>25</v>
      </c>
      <c r="B76" s="505" t="s">
        <v>1416</v>
      </c>
      <c r="C76" s="483">
        <v>4.6100000000000003</v>
      </c>
      <c r="D76" s="500">
        <v>4</v>
      </c>
      <c r="E76" s="500">
        <v>4</v>
      </c>
      <c r="F76" s="506">
        <v>0.625</v>
      </c>
      <c r="G76" s="483">
        <v>15.7</v>
      </c>
      <c r="H76" s="25"/>
      <c r="I76" s="25"/>
      <c r="J76" s="25"/>
      <c r="K76" s="25"/>
      <c r="L76" s="25"/>
      <c r="M76" s="25"/>
      <c r="N76" s="25"/>
      <c r="O76" s="25"/>
      <c r="P76" s="25"/>
      <c r="Q76" s="25"/>
      <c r="R76" s="25"/>
    </row>
    <row r="77" spans="1:18" ht="15.75" x14ac:dyDescent="0.25">
      <c r="A77" s="488">
        <v>26</v>
      </c>
      <c r="B77" s="505" t="s">
        <v>1417</v>
      </c>
      <c r="C77" s="483">
        <v>3.75</v>
      </c>
      <c r="D77" s="500">
        <v>4</v>
      </c>
      <c r="E77" s="500">
        <v>4</v>
      </c>
      <c r="F77" s="506">
        <v>0.5</v>
      </c>
      <c r="G77" s="483">
        <v>12.8</v>
      </c>
      <c r="H77" s="25"/>
      <c r="I77" s="25"/>
      <c r="J77" s="25"/>
      <c r="K77" s="25"/>
      <c r="L77" s="25"/>
      <c r="M77" s="25"/>
      <c r="N77" s="25"/>
      <c r="O77" s="25"/>
      <c r="P77" s="25"/>
      <c r="Q77" s="25"/>
      <c r="R77" s="25"/>
    </row>
    <row r="78" spans="1:18" ht="15.75" x14ac:dyDescent="0.25">
      <c r="A78" s="488">
        <v>27</v>
      </c>
      <c r="B78" s="505" t="s">
        <v>1418</v>
      </c>
      <c r="C78" s="483">
        <v>3.31</v>
      </c>
      <c r="D78" s="500">
        <v>4</v>
      </c>
      <c r="E78" s="500">
        <v>4</v>
      </c>
      <c r="F78" s="506">
        <v>0.4375</v>
      </c>
      <c r="G78" s="483">
        <v>11.3</v>
      </c>
      <c r="H78" s="25"/>
      <c r="I78" s="25"/>
      <c r="J78" s="25"/>
      <c r="K78" s="25"/>
      <c r="L78" s="25"/>
      <c r="M78" s="25"/>
      <c r="N78" s="25"/>
      <c r="O78" s="25"/>
      <c r="P78" s="25"/>
      <c r="Q78" s="25"/>
      <c r="R78" s="25"/>
    </row>
    <row r="79" spans="1:18" ht="15.75" x14ac:dyDescent="0.25">
      <c r="A79" s="488">
        <v>28</v>
      </c>
      <c r="B79" s="505" t="s">
        <v>1419</v>
      </c>
      <c r="C79" s="483">
        <v>2.86</v>
      </c>
      <c r="D79" s="500">
        <v>4</v>
      </c>
      <c r="E79" s="500">
        <v>4</v>
      </c>
      <c r="F79" s="506">
        <v>0.375</v>
      </c>
      <c r="G79" s="483">
        <v>9.8000000000000007</v>
      </c>
      <c r="H79" s="25"/>
      <c r="I79" s="25"/>
      <c r="J79" s="25"/>
      <c r="K79" s="25"/>
      <c r="L79" s="25"/>
      <c r="M79" s="25"/>
      <c r="N79" s="25"/>
      <c r="O79" s="25"/>
      <c r="P79" s="25"/>
      <c r="Q79" s="25"/>
      <c r="R79" s="25"/>
    </row>
    <row r="80" spans="1:18" ht="15.75" x14ac:dyDescent="0.25">
      <c r="A80" s="488">
        <v>29</v>
      </c>
      <c r="B80" s="505" t="s">
        <v>1420</v>
      </c>
      <c r="C80" s="483">
        <v>2.4</v>
      </c>
      <c r="D80" s="500">
        <v>4</v>
      </c>
      <c r="E80" s="500">
        <v>4</v>
      </c>
      <c r="F80" s="506">
        <v>0.3125</v>
      </c>
      <c r="G80" s="483">
        <v>8.1999999999999993</v>
      </c>
      <c r="H80" s="25"/>
      <c r="I80" s="25"/>
      <c r="J80" s="25"/>
      <c r="K80" s="25"/>
      <c r="L80" s="25"/>
      <c r="M80" s="25"/>
      <c r="N80" s="25"/>
      <c r="O80" s="25"/>
      <c r="P80" s="25"/>
      <c r="Q80" s="25"/>
      <c r="R80" s="25"/>
    </row>
    <row r="81" spans="1:7" ht="15.75" x14ac:dyDescent="0.25">
      <c r="A81" s="488">
        <v>30</v>
      </c>
      <c r="B81" s="505" t="s">
        <v>1421</v>
      </c>
      <c r="C81" s="483">
        <v>1.94</v>
      </c>
      <c r="D81" s="500">
        <v>4</v>
      </c>
      <c r="E81" s="500">
        <v>4</v>
      </c>
      <c r="F81" s="506">
        <v>0.25</v>
      </c>
      <c r="G81" s="483">
        <v>6.6</v>
      </c>
    </row>
    <row r="82" spans="1:7" ht="15.75" x14ac:dyDescent="0.25">
      <c r="A82" s="488">
        <v>31</v>
      </c>
      <c r="B82" s="505" t="s">
        <v>1422</v>
      </c>
      <c r="C82" s="483">
        <v>3.25</v>
      </c>
      <c r="D82" s="500">
        <v>3</v>
      </c>
      <c r="E82" s="500">
        <v>3</v>
      </c>
      <c r="F82" s="506">
        <v>0.5</v>
      </c>
      <c r="G82" s="483">
        <v>11.1</v>
      </c>
    </row>
    <row r="83" spans="1:7" ht="15.75" x14ac:dyDescent="0.25">
      <c r="A83" s="488">
        <v>32</v>
      </c>
      <c r="B83" s="505" t="s">
        <v>1423</v>
      </c>
      <c r="C83" s="483">
        <v>2.87</v>
      </c>
      <c r="D83" s="500">
        <v>3</v>
      </c>
      <c r="E83" s="500">
        <v>3</v>
      </c>
      <c r="F83" s="506">
        <v>0.4375</v>
      </c>
      <c r="G83" s="483">
        <v>9.8000000000000007</v>
      </c>
    </row>
    <row r="84" spans="1:7" ht="15.75" x14ac:dyDescent="0.25">
      <c r="A84" s="488">
        <v>33</v>
      </c>
      <c r="B84" s="505" t="s">
        <v>1424</v>
      </c>
      <c r="C84" s="483">
        <v>2.48</v>
      </c>
      <c r="D84" s="500">
        <v>3</v>
      </c>
      <c r="E84" s="500">
        <v>3</v>
      </c>
      <c r="F84" s="506">
        <v>0.375</v>
      </c>
      <c r="G84" s="483">
        <v>8.5</v>
      </c>
    </row>
    <row r="85" spans="1:7" ht="15.75" x14ac:dyDescent="0.25">
      <c r="A85" s="488">
        <v>34</v>
      </c>
      <c r="B85" s="505" t="s">
        <v>1425</v>
      </c>
      <c r="C85" s="483">
        <v>2.09</v>
      </c>
      <c r="D85" s="500">
        <v>3</v>
      </c>
      <c r="E85" s="500">
        <v>3</v>
      </c>
      <c r="F85" s="506">
        <v>0.3125</v>
      </c>
      <c r="G85" s="483">
        <v>7.2</v>
      </c>
    </row>
    <row r="86" spans="1:7" ht="15.75" x14ac:dyDescent="0.25">
      <c r="A86" s="488">
        <v>35</v>
      </c>
      <c r="B86" s="505" t="s">
        <v>1426</v>
      </c>
      <c r="C86" s="483">
        <v>1.69</v>
      </c>
      <c r="D86" s="500">
        <v>3</v>
      </c>
      <c r="E86" s="500">
        <v>3</v>
      </c>
      <c r="F86" s="506">
        <v>0.25</v>
      </c>
      <c r="G86" s="483">
        <v>5.8</v>
      </c>
    </row>
    <row r="87" spans="1:7" ht="15.75" x14ac:dyDescent="0.25">
      <c r="A87" s="488">
        <v>36</v>
      </c>
      <c r="B87" s="505" t="s">
        <v>1427</v>
      </c>
      <c r="C87" s="483">
        <v>2.75</v>
      </c>
      <c r="D87" s="500">
        <v>3</v>
      </c>
      <c r="E87" s="500">
        <v>3</v>
      </c>
      <c r="F87" s="506">
        <v>0.5</v>
      </c>
      <c r="G87" s="483">
        <v>9.4</v>
      </c>
    </row>
    <row r="88" spans="1:7" ht="15.75" x14ac:dyDescent="0.25">
      <c r="A88" s="488">
        <v>37</v>
      </c>
      <c r="B88" s="505" t="s">
        <v>1428</v>
      </c>
      <c r="C88" s="483">
        <v>2.4300000000000002</v>
      </c>
      <c r="D88" s="500">
        <v>3</v>
      </c>
      <c r="E88" s="500">
        <v>3</v>
      </c>
      <c r="F88" s="506">
        <v>0.4375</v>
      </c>
      <c r="G88" s="483">
        <v>8.3000000000000007</v>
      </c>
    </row>
    <row r="89" spans="1:7" ht="15.75" x14ac:dyDescent="0.25">
      <c r="A89" s="488">
        <v>38</v>
      </c>
      <c r="B89" s="505" t="s">
        <v>1429</v>
      </c>
      <c r="C89" s="483">
        <v>2.11</v>
      </c>
      <c r="D89" s="500">
        <v>3</v>
      </c>
      <c r="E89" s="500">
        <v>3</v>
      </c>
      <c r="F89" s="506">
        <v>0.375</v>
      </c>
      <c r="G89" s="483">
        <v>7.2</v>
      </c>
    </row>
    <row r="90" spans="1:7" ht="15.75" x14ac:dyDescent="0.25">
      <c r="A90" s="488">
        <v>39</v>
      </c>
      <c r="B90" s="505" t="s">
        <v>1430</v>
      </c>
      <c r="C90" s="483">
        <v>1.78</v>
      </c>
      <c r="D90" s="500">
        <v>3</v>
      </c>
      <c r="E90" s="500">
        <v>3</v>
      </c>
      <c r="F90" s="506">
        <v>0.3125</v>
      </c>
      <c r="G90" s="483">
        <v>6.1</v>
      </c>
    </row>
    <row r="91" spans="1:7" ht="15.75" x14ac:dyDescent="0.25">
      <c r="A91" s="488">
        <v>40</v>
      </c>
      <c r="B91" s="505" t="s">
        <v>1431</v>
      </c>
      <c r="C91" s="483">
        <v>1.44</v>
      </c>
      <c r="D91" s="500">
        <v>3</v>
      </c>
      <c r="E91" s="500">
        <v>3</v>
      </c>
      <c r="F91" s="506">
        <v>0.25</v>
      </c>
      <c r="G91" s="483">
        <v>4.9000000000000004</v>
      </c>
    </row>
    <row r="92" spans="1:7" ht="15.75" x14ac:dyDescent="0.25">
      <c r="A92" s="488">
        <v>41</v>
      </c>
      <c r="B92" s="505" t="s">
        <v>1432</v>
      </c>
      <c r="C92" s="483">
        <v>1.0900000000000001</v>
      </c>
      <c r="D92" s="500">
        <v>3</v>
      </c>
      <c r="E92" s="500">
        <v>3</v>
      </c>
      <c r="F92" s="506">
        <v>0.1875</v>
      </c>
      <c r="G92" s="483">
        <v>3.71</v>
      </c>
    </row>
    <row r="93" spans="1:7" ht="15.75" x14ac:dyDescent="0.25">
      <c r="A93" s="488">
        <v>42</v>
      </c>
      <c r="B93" s="505" t="s">
        <v>1433</v>
      </c>
      <c r="C93" s="483">
        <v>2.25</v>
      </c>
      <c r="D93" s="500">
        <v>2.5</v>
      </c>
      <c r="E93" s="500">
        <v>2.5</v>
      </c>
      <c r="F93" s="506">
        <v>0.5</v>
      </c>
      <c r="G93" s="483">
        <v>7.7</v>
      </c>
    </row>
    <row r="94" spans="1:7" ht="15.75" x14ac:dyDescent="0.25">
      <c r="A94" s="488">
        <v>43</v>
      </c>
      <c r="B94" s="505" t="s">
        <v>1434</v>
      </c>
      <c r="C94" s="483">
        <v>1.73</v>
      </c>
      <c r="D94" s="500">
        <v>2.5</v>
      </c>
      <c r="E94" s="500">
        <v>2.5</v>
      </c>
      <c r="F94" s="506">
        <v>0.375</v>
      </c>
      <c r="G94" s="483">
        <v>5.9</v>
      </c>
    </row>
    <row r="95" spans="1:7" ht="15.75" x14ac:dyDescent="0.25">
      <c r="A95" s="488">
        <v>44</v>
      </c>
      <c r="B95" s="505" t="s">
        <v>1435</v>
      </c>
      <c r="C95" s="483">
        <v>1.46</v>
      </c>
      <c r="D95" s="500">
        <v>2.5</v>
      </c>
      <c r="E95" s="500">
        <v>2.5</v>
      </c>
      <c r="F95" s="506">
        <v>0.3125</v>
      </c>
      <c r="G95" s="483">
        <v>5</v>
      </c>
    </row>
    <row r="96" spans="1:7" ht="15.75" x14ac:dyDescent="0.25">
      <c r="A96" s="488">
        <v>45</v>
      </c>
      <c r="B96" s="505" t="s">
        <v>1436</v>
      </c>
      <c r="C96" s="483">
        <v>1.19</v>
      </c>
      <c r="D96" s="500">
        <v>2.5</v>
      </c>
      <c r="E96" s="500">
        <v>2.5</v>
      </c>
      <c r="F96" s="506">
        <v>0.25</v>
      </c>
      <c r="G96" s="483">
        <v>4.0999999999999996</v>
      </c>
    </row>
    <row r="97" spans="1:7" ht="15.75" x14ac:dyDescent="0.25">
      <c r="A97" s="488">
        <v>46</v>
      </c>
      <c r="B97" s="505" t="s">
        <v>1437</v>
      </c>
      <c r="C97" s="483">
        <v>0.90200000000000002</v>
      </c>
      <c r="D97" s="500">
        <v>2.5</v>
      </c>
      <c r="E97" s="500">
        <v>2.5</v>
      </c>
      <c r="F97" s="506">
        <v>0.1875</v>
      </c>
      <c r="G97" s="483">
        <v>3.07</v>
      </c>
    </row>
    <row r="98" spans="1:7" ht="15.75" x14ac:dyDescent="0.25">
      <c r="A98" s="488">
        <v>47</v>
      </c>
      <c r="B98" s="505" t="s">
        <v>1438</v>
      </c>
      <c r="C98" s="483">
        <v>1.36</v>
      </c>
      <c r="D98" s="500">
        <v>2</v>
      </c>
      <c r="E98" s="500">
        <v>2</v>
      </c>
      <c r="F98" s="506">
        <v>0.375</v>
      </c>
      <c r="G98" s="483">
        <v>4.7</v>
      </c>
    </row>
    <row r="99" spans="1:7" ht="15.75" x14ac:dyDescent="0.25">
      <c r="A99" s="488">
        <v>48</v>
      </c>
      <c r="B99" s="505" t="s">
        <v>1439</v>
      </c>
      <c r="C99" s="483">
        <v>1.1499999999999999</v>
      </c>
      <c r="D99" s="500">
        <v>2</v>
      </c>
      <c r="E99" s="500">
        <v>2</v>
      </c>
      <c r="F99" s="506">
        <v>0.3125</v>
      </c>
      <c r="G99" s="483">
        <v>3.92</v>
      </c>
    </row>
    <row r="100" spans="1:7" ht="15.75" x14ac:dyDescent="0.25">
      <c r="A100" s="488">
        <v>49</v>
      </c>
      <c r="B100" s="505" t="s">
        <v>1440</v>
      </c>
      <c r="C100" s="483">
        <v>0.93799999999999994</v>
      </c>
      <c r="D100" s="500">
        <v>2</v>
      </c>
      <c r="E100" s="500">
        <v>2</v>
      </c>
      <c r="F100" s="506">
        <v>0.25</v>
      </c>
      <c r="G100" s="483">
        <v>3.19</v>
      </c>
    </row>
    <row r="101" spans="1:7" ht="15.75" x14ac:dyDescent="0.25">
      <c r="A101" s="488">
        <v>50</v>
      </c>
      <c r="B101" s="505" t="s">
        <v>1441</v>
      </c>
      <c r="C101" s="483">
        <v>0.71499999999999997</v>
      </c>
      <c r="D101" s="500">
        <v>2</v>
      </c>
      <c r="E101" s="500">
        <v>2</v>
      </c>
      <c r="F101" s="506">
        <v>0.1875</v>
      </c>
      <c r="G101" s="483">
        <v>2.44</v>
      </c>
    </row>
    <row r="102" spans="1:7" ht="15.75" x14ac:dyDescent="0.25">
      <c r="A102" s="488">
        <v>51</v>
      </c>
      <c r="B102" s="505" t="s">
        <v>1442</v>
      </c>
      <c r="C102" s="483">
        <v>0.48399999999999999</v>
      </c>
      <c r="D102" s="500">
        <v>2</v>
      </c>
      <c r="E102" s="500">
        <v>2</v>
      </c>
      <c r="F102" s="506">
        <v>0.125</v>
      </c>
      <c r="G102" s="483">
        <v>1.65</v>
      </c>
    </row>
    <row r="103" spans="1:7" ht="15.75" x14ac:dyDescent="0.25">
      <c r="A103" s="488">
        <v>52</v>
      </c>
      <c r="B103" s="505" t="s">
        <v>1443</v>
      </c>
      <c r="C103" s="483">
        <v>7.73</v>
      </c>
      <c r="D103" s="500">
        <v>9</v>
      </c>
      <c r="E103" s="500">
        <v>4</v>
      </c>
      <c r="F103" s="506">
        <v>0.625</v>
      </c>
      <c r="G103" s="483">
        <v>26.3</v>
      </c>
    </row>
    <row r="104" spans="1:7" ht="15.75" x14ac:dyDescent="0.25">
      <c r="A104" s="488">
        <v>53</v>
      </c>
      <c r="B104" s="505" t="s">
        <v>1444</v>
      </c>
      <c r="C104" s="483">
        <v>7</v>
      </c>
      <c r="D104" s="500">
        <v>9</v>
      </c>
      <c r="E104" s="500">
        <v>4</v>
      </c>
      <c r="F104" s="506">
        <v>0.5625</v>
      </c>
      <c r="G104" s="483">
        <v>23.8</v>
      </c>
    </row>
    <row r="105" spans="1:7" ht="15.75" x14ac:dyDescent="0.25">
      <c r="A105" s="488">
        <v>54</v>
      </c>
      <c r="B105" s="505" t="s">
        <v>1445</v>
      </c>
      <c r="C105" s="483">
        <v>6.25</v>
      </c>
      <c r="D105" s="500">
        <v>9</v>
      </c>
      <c r="E105" s="500">
        <v>4</v>
      </c>
      <c r="F105" s="506">
        <v>0.5</v>
      </c>
      <c r="G105" s="483">
        <v>21.3</v>
      </c>
    </row>
    <row r="106" spans="1:7" x14ac:dyDescent="0.2">
      <c r="A106" s="488">
        <v>55</v>
      </c>
      <c r="B106" s="505" t="s">
        <v>1446</v>
      </c>
      <c r="C106" s="483">
        <v>13</v>
      </c>
      <c r="D106" s="500">
        <v>8</v>
      </c>
      <c r="E106" s="500">
        <v>6</v>
      </c>
      <c r="F106" s="506">
        <v>1</v>
      </c>
      <c r="G106" s="483">
        <v>44.2</v>
      </c>
    </row>
    <row r="107" spans="1:7" ht="15.75" x14ac:dyDescent="0.25">
      <c r="A107" s="488">
        <v>56</v>
      </c>
      <c r="B107" s="505" t="s">
        <v>1447</v>
      </c>
      <c r="C107" s="483">
        <v>11.5</v>
      </c>
      <c r="D107" s="500">
        <v>8</v>
      </c>
      <c r="E107" s="500">
        <v>6</v>
      </c>
      <c r="F107" s="506">
        <v>0.875</v>
      </c>
      <c r="G107" s="483">
        <v>39.1</v>
      </c>
    </row>
    <row r="108" spans="1:7" ht="15.75" x14ac:dyDescent="0.25">
      <c r="A108" s="488">
        <v>57</v>
      </c>
      <c r="B108" s="505" t="s">
        <v>1448</v>
      </c>
      <c r="C108" s="483">
        <v>9.94</v>
      </c>
      <c r="D108" s="500">
        <v>8</v>
      </c>
      <c r="E108" s="500">
        <v>6</v>
      </c>
      <c r="F108" s="506">
        <v>0.75</v>
      </c>
      <c r="G108" s="483">
        <v>33.799999999999997</v>
      </c>
    </row>
    <row r="109" spans="1:7" ht="15.75" x14ac:dyDescent="0.25">
      <c r="A109" s="488">
        <v>58</v>
      </c>
      <c r="B109" s="505" t="s">
        <v>1449</v>
      </c>
      <c r="C109" s="483">
        <v>8.36</v>
      </c>
      <c r="D109" s="500">
        <v>8</v>
      </c>
      <c r="E109" s="500">
        <v>6</v>
      </c>
      <c r="F109" s="506">
        <v>0.625</v>
      </c>
      <c r="G109" s="483">
        <v>28.5</v>
      </c>
    </row>
    <row r="110" spans="1:7" ht="15.75" x14ac:dyDescent="0.25">
      <c r="A110" s="488">
        <v>59</v>
      </c>
      <c r="B110" s="505" t="s">
        <v>1450</v>
      </c>
      <c r="C110" s="483">
        <v>7.56</v>
      </c>
      <c r="D110" s="500">
        <v>8</v>
      </c>
      <c r="E110" s="500">
        <v>6</v>
      </c>
      <c r="F110" s="506">
        <v>0.5625</v>
      </c>
      <c r="G110" s="483">
        <v>25.7</v>
      </c>
    </row>
    <row r="111" spans="1:7" ht="15.75" x14ac:dyDescent="0.25">
      <c r="A111" s="488">
        <v>60</v>
      </c>
      <c r="B111" s="505" t="s">
        <v>1451</v>
      </c>
      <c r="C111" s="483">
        <v>6.75</v>
      </c>
      <c r="D111" s="500">
        <v>8</v>
      </c>
      <c r="E111" s="500">
        <v>6</v>
      </c>
      <c r="F111" s="506">
        <v>0.5</v>
      </c>
      <c r="G111" s="483">
        <v>23</v>
      </c>
    </row>
    <row r="112" spans="1:7" ht="15.75" x14ac:dyDescent="0.25">
      <c r="A112" s="488">
        <v>61</v>
      </c>
      <c r="B112" s="505" t="s">
        <v>1452</v>
      </c>
      <c r="C112" s="483">
        <v>5.93</v>
      </c>
      <c r="D112" s="500">
        <v>8</v>
      </c>
      <c r="E112" s="500">
        <v>6</v>
      </c>
      <c r="F112" s="506">
        <v>0.4375</v>
      </c>
      <c r="G112" s="483">
        <v>20.2</v>
      </c>
    </row>
    <row r="113" spans="1:7" x14ac:dyDescent="0.2">
      <c r="A113" s="488">
        <v>62</v>
      </c>
      <c r="B113" s="505" t="s">
        <v>1453</v>
      </c>
      <c r="C113" s="483">
        <v>11</v>
      </c>
      <c r="D113" s="500">
        <v>8</v>
      </c>
      <c r="E113" s="500">
        <v>4</v>
      </c>
      <c r="F113" s="506">
        <v>1</v>
      </c>
      <c r="G113" s="483">
        <v>37.4</v>
      </c>
    </row>
    <row r="114" spans="1:7" ht="15.75" x14ac:dyDescent="0.25">
      <c r="A114" s="488">
        <v>63</v>
      </c>
      <c r="B114" s="505" t="s">
        <v>1454</v>
      </c>
      <c r="C114" s="483">
        <v>8.44</v>
      </c>
      <c r="D114" s="500">
        <v>8</v>
      </c>
      <c r="E114" s="500">
        <v>4</v>
      </c>
      <c r="F114" s="506">
        <v>0.75</v>
      </c>
      <c r="G114" s="483">
        <v>28.7</v>
      </c>
    </row>
    <row r="115" spans="1:7" ht="15.75" x14ac:dyDescent="0.25">
      <c r="A115" s="488">
        <v>64</v>
      </c>
      <c r="B115" s="505" t="s">
        <v>1455</v>
      </c>
      <c r="C115" s="483">
        <v>6.43</v>
      </c>
      <c r="D115" s="500">
        <v>8</v>
      </c>
      <c r="E115" s="500">
        <v>4</v>
      </c>
      <c r="F115" s="506">
        <v>0.5625</v>
      </c>
      <c r="G115" s="483">
        <v>21.9</v>
      </c>
    </row>
    <row r="116" spans="1:7" ht="15.75" x14ac:dyDescent="0.25">
      <c r="A116" s="488">
        <v>65</v>
      </c>
      <c r="B116" s="505" t="s">
        <v>1456</v>
      </c>
      <c r="C116" s="483">
        <v>5.75</v>
      </c>
      <c r="D116" s="500">
        <v>8</v>
      </c>
      <c r="E116" s="500">
        <v>4</v>
      </c>
      <c r="F116" s="506">
        <v>0.5</v>
      </c>
      <c r="G116" s="483">
        <v>19.600000000000001</v>
      </c>
    </row>
    <row r="117" spans="1:7" ht="15.75" x14ac:dyDescent="0.25">
      <c r="A117" s="488">
        <v>66</v>
      </c>
      <c r="B117" s="505" t="s">
        <v>1460</v>
      </c>
      <c r="C117" s="483">
        <v>7.69</v>
      </c>
      <c r="D117" s="500">
        <v>7</v>
      </c>
      <c r="E117" s="500">
        <v>4</v>
      </c>
      <c r="F117" s="506">
        <v>0.75</v>
      </c>
      <c r="G117" s="483">
        <v>26.2</v>
      </c>
    </row>
    <row r="118" spans="1:7" ht="15.75" x14ac:dyDescent="0.25">
      <c r="A118" s="488">
        <v>67</v>
      </c>
      <c r="B118" s="505" t="s">
        <v>1461</v>
      </c>
      <c r="C118" s="483">
        <v>6.48</v>
      </c>
      <c r="D118" s="500">
        <v>7</v>
      </c>
      <c r="E118" s="500">
        <v>4</v>
      </c>
      <c r="F118" s="506">
        <v>0.625</v>
      </c>
      <c r="G118" s="483">
        <v>22.1</v>
      </c>
    </row>
    <row r="119" spans="1:7" ht="15.75" x14ac:dyDescent="0.25">
      <c r="A119" s="488">
        <v>68</v>
      </c>
      <c r="B119" s="505" t="s">
        <v>1462</v>
      </c>
      <c r="C119" s="483">
        <v>5.25</v>
      </c>
      <c r="D119" s="500">
        <v>7</v>
      </c>
      <c r="E119" s="500">
        <v>4</v>
      </c>
      <c r="F119" s="506">
        <v>0.5</v>
      </c>
      <c r="G119" s="483">
        <v>17.899999999999999</v>
      </c>
    </row>
    <row r="120" spans="1:7" ht="15.75" x14ac:dyDescent="0.25">
      <c r="A120" s="488">
        <v>69</v>
      </c>
      <c r="B120" s="505" t="s">
        <v>1463</v>
      </c>
      <c r="C120" s="483">
        <v>3.98</v>
      </c>
      <c r="D120" s="500">
        <v>7</v>
      </c>
      <c r="E120" s="500">
        <v>4</v>
      </c>
      <c r="F120" s="506">
        <v>0.375</v>
      </c>
      <c r="G120" s="483">
        <v>13.6</v>
      </c>
    </row>
    <row r="121" spans="1:7" ht="15.75" x14ac:dyDescent="0.25">
      <c r="A121" s="488">
        <v>70</v>
      </c>
      <c r="B121" s="505" t="s">
        <v>1464</v>
      </c>
      <c r="C121" s="483">
        <v>7.98</v>
      </c>
      <c r="D121" s="500">
        <v>6</v>
      </c>
      <c r="E121" s="500">
        <v>4</v>
      </c>
      <c r="F121" s="506">
        <v>0.875</v>
      </c>
      <c r="G121" s="483">
        <v>27.2</v>
      </c>
    </row>
    <row r="122" spans="1:7" ht="15.75" x14ac:dyDescent="0.25">
      <c r="A122" s="488">
        <v>71</v>
      </c>
      <c r="B122" s="505" t="s">
        <v>1465</v>
      </c>
      <c r="C122" s="483">
        <v>6.94</v>
      </c>
      <c r="D122" s="500">
        <v>6</v>
      </c>
      <c r="E122" s="500">
        <v>4</v>
      </c>
      <c r="F122" s="506">
        <v>0.75</v>
      </c>
      <c r="G122" s="483">
        <v>23.6</v>
      </c>
    </row>
    <row r="123" spans="1:7" ht="15.75" x14ac:dyDescent="0.25">
      <c r="A123" s="488">
        <v>72</v>
      </c>
      <c r="B123" s="505" t="s">
        <v>1466</v>
      </c>
      <c r="C123" s="483">
        <v>5.86</v>
      </c>
      <c r="D123" s="500">
        <v>6</v>
      </c>
      <c r="E123" s="500">
        <v>4</v>
      </c>
      <c r="F123" s="506">
        <v>0.625</v>
      </c>
      <c r="G123" s="483">
        <v>20</v>
      </c>
    </row>
    <row r="124" spans="1:7" ht="15.75" x14ac:dyDescent="0.25">
      <c r="A124" s="488">
        <v>73</v>
      </c>
      <c r="B124" s="505" t="s">
        <v>1467</v>
      </c>
      <c r="C124" s="483">
        <v>5.31</v>
      </c>
      <c r="D124" s="500">
        <v>6</v>
      </c>
      <c r="E124" s="500">
        <v>4</v>
      </c>
      <c r="F124" s="506">
        <v>0.5625</v>
      </c>
      <c r="G124" s="483">
        <v>18.100000000000001</v>
      </c>
    </row>
    <row r="125" spans="1:7" ht="15.75" x14ac:dyDescent="0.25">
      <c r="A125" s="488">
        <v>74</v>
      </c>
      <c r="B125" s="505" t="s">
        <v>1468</v>
      </c>
      <c r="C125" s="483">
        <v>4.75</v>
      </c>
      <c r="D125" s="500">
        <v>6</v>
      </c>
      <c r="E125" s="500">
        <v>4</v>
      </c>
      <c r="F125" s="506">
        <v>0.5</v>
      </c>
      <c r="G125" s="483">
        <v>16.2</v>
      </c>
    </row>
    <row r="126" spans="1:7" ht="15.75" x14ac:dyDescent="0.25">
      <c r="A126" s="488">
        <v>75</v>
      </c>
      <c r="B126" s="505" t="s">
        <v>1469</v>
      </c>
      <c r="C126" s="483">
        <v>4.18</v>
      </c>
      <c r="D126" s="500">
        <v>6</v>
      </c>
      <c r="E126" s="500">
        <v>4</v>
      </c>
      <c r="F126" s="506">
        <v>0.4375</v>
      </c>
      <c r="G126" s="483">
        <v>14.3</v>
      </c>
    </row>
    <row r="127" spans="1:7" ht="15.75" x14ac:dyDescent="0.25">
      <c r="A127" s="488">
        <v>76</v>
      </c>
      <c r="B127" s="505" t="s">
        <v>1470</v>
      </c>
      <c r="C127" s="483">
        <v>3.61</v>
      </c>
      <c r="D127" s="500">
        <v>6</v>
      </c>
      <c r="E127" s="500">
        <v>4</v>
      </c>
      <c r="F127" s="506">
        <v>0.375</v>
      </c>
      <c r="G127" s="483">
        <v>12.3</v>
      </c>
    </row>
    <row r="128" spans="1:7" ht="15.75" x14ac:dyDescent="0.25">
      <c r="A128" s="488">
        <v>77</v>
      </c>
      <c r="B128" s="505" t="s">
        <v>1471</v>
      </c>
      <c r="C128" s="483">
        <v>3.03</v>
      </c>
      <c r="D128" s="500">
        <v>6</v>
      </c>
      <c r="E128" s="500">
        <v>4</v>
      </c>
      <c r="F128" s="506">
        <v>0.3125</v>
      </c>
      <c r="G128" s="483">
        <v>10.3</v>
      </c>
    </row>
    <row r="129" spans="1:7" ht="15.75" x14ac:dyDescent="0.25">
      <c r="A129" s="488">
        <v>78</v>
      </c>
      <c r="B129" s="505" t="s">
        <v>1472</v>
      </c>
      <c r="C129" s="483">
        <v>4.5</v>
      </c>
      <c r="D129" s="500">
        <v>6</v>
      </c>
      <c r="E129" s="500">
        <v>3.5</v>
      </c>
      <c r="F129" s="506">
        <v>0.5</v>
      </c>
      <c r="G129" s="483">
        <v>15.3</v>
      </c>
    </row>
    <row r="130" spans="1:7" ht="15.75" x14ac:dyDescent="0.25">
      <c r="A130" s="488">
        <v>79</v>
      </c>
      <c r="B130" s="505" t="s">
        <v>1473</v>
      </c>
      <c r="C130" s="483">
        <v>3.42</v>
      </c>
      <c r="D130" s="500">
        <v>6</v>
      </c>
      <c r="E130" s="500">
        <v>3.5</v>
      </c>
      <c r="F130" s="506">
        <v>0.375</v>
      </c>
      <c r="G130" s="483">
        <v>11.7</v>
      </c>
    </row>
    <row r="131" spans="1:7" ht="15.75" x14ac:dyDescent="0.25">
      <c r="A131" s="488">
        <v>80</v>
      </c>
      <c r="B131" s="505" t="s">
        <v>1474</v>
      </c>
      <c r="C131" s="483">
        <v>2.87</v>
      </c>
      <c r="D131" s="500">
        <v>6</v>
      </c>
      <c r="E131" s="500">
        <v>3.5</v>
      </c>
      <c r="F131" s="506">
        <v>0.3125</v>
      </c>
      <c r="G131" s="483">
        <v>9.8000000000000007</v>
      </c>
    </row>
    <row r="132" spans="1:7" ht="15.75" x14ac:dyDescent="0.25">
      <c r="A132" s="488">
        <v>81</v>
      </c>
      <c r="B132" s="505" t="s">
        <v>1475</v>
      </c>
      <c r="C132" s="483">
        <v>5.81</v>
      </c>
      <c r="D132" s="500">
        <v>5</v>
      </c>
      <c r="E132" s="500">
        <v>3.5</v>
      </c>
      <c r="F132" s="506">
        <v>0.75</v>
      </c>
      <c r="G132" s="483">
        <v>19.8</v>
      </c>
    </row>
    <row r="133" spans="1:7" ht="15.75" x14ac:dyDescent="0.25">
      <c r="A133" s="488">
        <v>82</v>
      </c>
      <c r="B133" s="505" t="s">
        <v>1476</v>
      </c>
      <c r="C133" s="483">
        <v>4.92</v>
      </c>
      <c r="D133" s="500">
        <v>5</v>
      </c>
      <c r="E133" s="500">
        <v>3.5</v>
      </c>
      <c r="F133" s="506">
        <v>0.625</v>
      </c>
      <c r="G133" s="483">
        <v>16.8</v>
      </c>
    </row>
    <row r="134" spans="1:7" ht="15.75" x14ac:dyDescent="0.25">
      <c r="A134" s="488">
        <v>83</v>
      </c>
      <c r="B134" s="505" t="s">
        <v>1477</v>
      </c>
      <c r="C134" s="483">
        <v>4</v>
      </c>
      <c r="D134" s="500">
        <v>5</v>
      </c>
      <c r="E134" s="500">
        <v>3.5</v>
      </c>
      <c r="F134" s="506">
        <v>0.5</v>
      </c>
      <c r="G134" s="483">
        <v>13.6</v>
      </c>
    </row>
    <row r="135" spans="1:7" ht="15.75" x14ac:dyDescent="0.25">
      <c r="A135" s="488">
        <v>84</v>
      </c>
      <c r="B135" s="505" t="s">
        <v>1478</v>
      </c>
      <c r="C135" s="483">
        <v>3.53</v>
      </c>
      <c r="D135" s="500">
        <v>5</v>
      </c>
      <c r="E135" s="500">
        <v>3.5</v>
      </c>
      <c r="F135" s="506">
        <v>0.4375</v>
      </c>
      <c r="G135" s="483">
        <v>12</v>
      </c>
    </row>
    <row r="136" spans="1:7" ht="15.75" x14ac:dyDescent="0.25">
      <c r="A136" s="488">
        <v>85</v>
      </c>
      <c r="B136" s="505" t="s">
        <v>1479</v>
      </c>
      <c r="C136" s="483">
        <v>3.05</v>
      </c>
      <c r="D136" s="500">
        <v>5</v>
      </c>
      <c r="E136" s="500">
        <v>3.5</v>
      </c>
      <c r="F136" s="506">
        <v>0.375</v>
      </c>
      <c r="G136" s="483">
        <v>10.4</v>
      </c>
    </row>
    <row r="137" spans="1:7" ht="15.75" x14ac:dyDescent="0.25">
      <c r="A137" s="488">
        <v>86</v>
      </c>
      <c r="B137" s="505" t="s">
        <v>1480</v>
      </c>
      <c r="C137" s="483">
        <v>2.56</v>
      </c>
      <c r="D137" s="500">
        <v>5</v>
      </c>
      <c r="E137" s="500">
        <v>3.5</v>
      </c>
      <c r="F137" s="506">
        <v>0.3125</v>
      </c>
      <c r="G137" s="483">
        <v>8.6999999999999993</v>
      </c>
    </row>
    <row r="138" spans="1:7" ht="15.75" x14ac:dyDescent="0.25">
      <c r="A138" s="488">
        <v>87</v>
      </c>
      <c r="B138" s="505" t="s">
        <v>1481</v>
      </c>
      <c r="C138" s="483">
        <v>2.06</v>
      </c>
      <c r="D138" s="500">
        <v>5</v>
      </c>
      <c r="E138" s="500">
        <v>3.5</v>
      </c>
      <c r="F138" s="506">
        <v>0.25</v>
      </c>
      <c r="G138" s="483">
        <v>7</v>
      </c>
    </row>
    <row r="139" spans="1:7" ht="15.75" x14ac:dyDescent="0.25">
      <c r="A139" s="488">
        <v>88</v>
      </c>
      <c r="B139" s="505" t="s">
        <v>1482</v>
      </c>
      <c r="C139" s="483">
        <v>4.6100000000000003</v>
      </c>
      <c r="D139" s="500">
        <v>5</v>
      </c>
      <c r="E139" s="500">
        <v>3</v>
      </c>
      <c r="F139" s="506">
        <v>0.625</v>
      </c>
      <c r="G139" s="483">
        <v>15.7</v>
      </c>
    </row>
    <row r="140" spans="1:7" ht="15.75" x14ac:dyDescent="0.25">
      <c r="A140" s="488">
        <v>89</v>
      </c>
      <c r="B140" s="505" t="s">
        <v>1483</v>
      </c>
      <c r="C140" s="483">
        <v>3.75</v>
      </c>
      <c r="D140" s="500">
        <v>5</v>
      </c>
      <c r="E140" s="500">
        <v>3</v>
      </c>
      <c r="F140" s="506">
        <v>0.5</v>
      </c>
      <c r="G140" s="483">
        <v>12.8</v>
      </c>
    </row>
    <row r="141" spans="1:7" ht="15.75" x14ac:dyDescent="0.25">
      <c r="A141" s="488">
        <v>90</v>
      </c>
      <c r="B141" s="505" t="s">
        <v>1484</v>
      </c>
      <c r="C141" s="483">
        <v>3.31</v>
      </c>
      <c r="D141" s="500">
        <v>5</v>
      </c>
      <c r="E141" s="500">
        <v>3</v>
      </c>
      <c r="F141" s="506">
        <v>0.4375</v>
      </c>
      <c r="G141" s="483">
        <v>11.3</v>
      </c>
    </row>
    <row r="142" spans="1:7" ht="15.75" x14ac:dyDescent="0.25">
      <c r="A142" s="488">
        <v>91</v>
      </c>
      <c r="B142" s="505" t="s">
        <v>1485</v>
      </c>
      <c r="C142" s="483">
        <v>2.86</v>
      </c>
      <c r="D142" s="500">
        <v>5</v>
      </c>
      <c r="E142" s="500">
        <v>3</v>
      </c>
      <c r="F142" s="506">
        <v>0.375</v>
      </c>
      <c r="G142" s="483">
        <v>9.8000000000000007</v>
      </c>
    </row>
    <row r="143" spans="1:7" ht="15.75" x14ac:dyDescent="0.25">
      <c r="A143" s="488">
        <v>92</v>
      </c>
      <c r="B143" s="505" t="s">
        <v>1486</v>
      </c>
      <c r="C143" s="483">
        <v>2.4</v>
      </c>
      <c r="D143" s="500">
        <v>5</v>
      </c>
      <c r="E143" s="500">
        <v>3</v>
      </c>
      <c r="F143" s="506">
        <v>0.3125</v>
      </c>
      <c r="G143" s="483">
        <v>8.1999999999999993</v>
      </c>
    </row>
    <row r="144" spans="1:7" ht="15.75" x14ac:dyDescent="0.25">
      <c r="A144" s="488">
        <v>93</v>
      </c>
      <c r="B144" s="505" t="s">
        <v>1487</v>
      </c>
      <c r="C144" s="483">
        <v>1.94</v>
      </c>
      <c r="D144" s="500">
        <v>5</v>
      </c>
      <c r="E144" s="500">
        <v>3</v>
      </c>
      <c r="F144" s="506">
        <v>0.25</v>
      </c>
      <c r="G144" s="483">
        <v>6.6</v>
      </c>
    </row>
    <row r="145" spans="1:7" ht="15.75" x14ac:dyDescent="0.25">
      <c r="A145" s="488">
        <v>94</v>
      </c>
      <c r="B145" s="505" t="s">
        <v>1488</v>
      </c>
      <c r="C145" s="483">
        <v>4.3</v>
      </c>
      <c r="D145" s="500">
        <v>4</v>
      </c>
      <c r="E145" s="500">
        <v>3.5</v>
      </c>
      <c r="F145" s="506">
        <v>0.625</v>
      </c>
      <c r="G145" s="483">
        <v>14.7</v>
      </c>
    </row>
    <row r="146" spans="1:7" ht="15.75" x14ac:dyDescent="0.25">
      <c r="A146" s="488">
        <v>95</v>
      </c>
      <c r="B146" s="505" t="s">
        <v>1489</v>
      </c>
      <c r="C146" s="483">
        <v>3.5</v>
      </c>
      <c r="D146" s="500">
        <v>4</v>
      </c>
      <c r="E146" s="500">
        <v>3.5</v>
      </c>
      <c r="F146" s="506">
        <v>0.5</v>
      </c>
      <c r="G146" s="483">
        <v>11.9</v>
      </c>
    </row>
    <row r="147" spans="1:7" ht="15.75" x14ac:dyDescent="0.25">
      <c r="A147" s="488">
        <v>96</v>
      </c>
      <c r="B147" s="505" t="s">
        <v>1490</v>
      </c>
      <c r="C147" s="483">
        <v>3.09</v>
      </c>
      <c r="D147" s="500">
        <v>4</v>
      </c>
      <c r="E147" s="500">
        <v>3.5</v>
      </c>
      <c r="F147" s="506">
        <v>0.4375</v>
      </c>
      <c r="G147" s="483">
        <v>10.6</v>
      </c>
    </row>
    <row r="148" spans="1:7" ht="15.75" x14ac:dyDescent="0.25">
      <c r="A148" s="488">
        <v>97</v>
      </c>
      <c r="B148" s="505" t="s">
        <v>1491</v>
      </c>
      <c r="C148" s="483">
        <v>2.67</v>
      </c>
      <c r="D148" s="500">
        <v>4</v>
      </c>
      <c r="E148" s="500">
        <v>3.5</v>
      </c>
      <c r="F148" s="506">
        <v>0.375</v>
      </c>
      <c r="G148" s="483">
        <v>9.1</v>
      </c>
    </row>
    <row r="149" spans="1:7" ht="15.75" x14ac:dyDescent="0.25">
      <c r="A149" s="488">
        <v>98</v>
      </c>
      <c r="B149" s="505" t="s">
        <v>1492</v>
      </c>
      <c r="C149" s="483">
        <v>2.25</v>
      </c>
      <c r="D149" s="500">
        <v>4</v>
      </c>
      <c r="E149" s="500">
        <v>3.5</v>
      </c>
      <c r="F149" s="506">
        <v>0.3125</v>
      </c>
      <c r="G149" s="483">
        <v>7.7</v>
      </c>
    </row>
    <row r="150" spans="1:7" ht="15.75" x14ac:dyDescent="0.25">
      <c r="A150" s="488">
        <v>99</v>
      </c>
      <c r="B150" s="505" t="s">
        <v>1493</v>
      </c>
      <c r="C150" s="483">
        <v>1.81</v>
      </c>
      <c r="D150" s="500">
        <v>4</v>
      </c>
      <c r="E150" s="500">
        <v>3.5</v>
      </c>
      <c r="F150" s="506">
        <v>0.25</v>
      </c>
      <c r="G150" s="483">
        <v>6.2</v>
      </c>
    </row>
    <row r="151" spans="1:7" ht="15.75" x14ac:dyDescent="0.25">
      <c r="A151" s="488">
        <v>100</v>
      </c>
      <c r="B151" s="505" t="s">
        <v>1494</v>
      </c>
      <c r="C151" s="483">
        <v>3.98</v>
      </c>
      <c r="D151" s="500">
        <v>4</v>
      </c>
      <c r="E151" s="500">
        <v>3</v>
      </c>
      <c r="F151" s="506">
        <v>0.625</v>
      </c>
      <c r="G151" s="483">
        <v>13.6</v>
      </c>
    </row>
    <row r="152" spans="1:7" ht="15.75" x14ac:dyDescent="0.25">
      <c r="A152" s="488">
        <v>101</v>
      </c>
      <c r="B152" s="505" t="s">
        <v>1495</v>
      </c>
      <c r="C152" s="483">
        <v>3.25</v>
      </c>
      <c r="D152" s="500">
        <v>4</v>
      </c>
      <c r="E152" s="500">
        <v>3</v>
      </c>
      <c r="F152" s="506">
        <v>0.5</v>
      </c>
      <c r="G152" s="483">
        <v>11.1</v>
      </c>
    </row>
    <row r="153" spans="1:7" ht="15.75" x14ac:dyDescent="0.25">
      <c r="A153" s="488">
        <v>102</v>
      </c>
      <c r="B153" s="505" t="s">
        <v>1496</v>
      </c>
      <c r="C153" s="483">
        <v>2.87</v>
      </c>
      <c r="D153" s="500">
        <v>4</v>
      </c>
      <c r="E153" s="500">
        <v>3</v>
      </c>
      <c r="F153" s="506">
        <v>0.4375</v>
      </c>
      <c r="G153" s="483">
        <v>9.8000000000000007</v>
      </c>
    </row>
    <row r="154" spans="1:7" ht="15.75" x14ac:dyDescent="0.25">
      <c r="A154" s="488">
        <v>103</v>
      </c>
      <c r="B154" s="505" t="s">
        <v>1497</v>
      </c>
      <c r="C154" s="483">
        <v>2.48</v>
      </c>
      <c r="D154" s="500">
        <v>4</v>
      </c>
      <c r="E154" s="500">
        <v>3</v>
      </c>
      <c r="F154" s="506">
        <v>0.375</v>
      </c>
      <c r="G154" s="483">
        <v>8.5</v>
      </c>
    </row>
    <row r="155" spans="1:7" ht="15.75" x14ac:dyDescent="0.25">
      <c r="A155" s="488">
        <v>104</v>
      </c>
      <c r="B155" s="505" t="s">
        <v>1498</v>
      </c>
      <c r="C155" s="483">
        <v>2.09</v>
      </c>
      <c r="D155" s="500">
        <v>4</v>
      </c>
      <c r="E155" s="500">
        <v>3</v>
      </c>
      <c r="F155" s="506">
        <v>0.3125</v>
      </c>
      <c r="G155" s="483">
        <v>7.2</v>
      </c>
    </row>
    <row r="156" spans="1:7" ht="15.75" x14ac:dyDescent="0.25">
      <c r="A156" s="488">
        <v>105</v>
      </c>
      <c r="B156" s="505" t="s">
        <v>1499</v>
      </c>
      <c r="C156" s="483">
        <v>1.69</v>
      </c>
      <c r="D156" s="500">
        <v>4</v>
      </c>
      <c r="E156" s="500">
        <v>3</v>
      </c>
      <c r="F156" s="506">
        <v>0.25</v>
      </c>
      <c r="G156" s="483">
        <v>5.8</v>
      </c>
    </row>
    <row r="157" spans="1:7" ht="15.75" x14ac:dyDescent="0.25">
      <c r="A157" s="488">
        <v>106</v>
      </c>
      <c r="B157" s="505" t="s">
        <v>1500</v>
      </c>
      <c r="C157" s="483">
        <v>3</v>
      </c>
      <c r="D157" s="500">
        <v>3.5</v>
      </c>
      <c r="E157" s="500">
        <v>3</v>
      </c>
      <c r="F157" s="506">
        <v>0.5</v>
      </c>
      <c r="G157" s="483">
        <v>10.199999999999999</v>
      </c>
    </row>
    <row r="158" spans="1:7" ht="15.75" x14ac:dyDescent="0.25">
      <c r="A158" s="488">
        <v>107</v>
      </c>
      <c r="B158" s="505" t="s">
        <v>1501</v>
      </c>
      <c r="C158" s="483">
        <v>2.65</v>
      </c>
      <c r="D158" s="500">
        <v>3.5</v>
      </c>
      <c r="E158" s="500">
        <v>3</v>
      </c>
      <c r="F158" s="506">
        <v>0.4375</v>
      </c>
      <c r="G158" s="483">
        <v>9.1</v>
      </c>
    </row>
    <row r="159" spans="1:7" ht="15.75" x14ac:dyDescent="0.25">
      <c r="A159" s="488">
        <v>108</v>
      </c>
      <c r="B159" s="505" t="s">
        <v>1502</v>
      </c>
      <c r="C159" s="483">
        <v>2.2999999999999998</v>
      </c>
      <c r="D159" s="500">
        <v>3.5</v>
      </c>
      <c r="E159" s="500">
        <v>3</v>
      </c>
      <c r="F159" s="506">
        <v>0.375</v>
      </c>
      <c r="G159" s="483">
        <v>7.9</v>
      </c>
    </row>
    <row r="160" spans="1:7" ht="15.75" x14ac:dyDescent="0.25">
      <c r="A160" s="488">
        <v>109</v>
      </c>
      <c r="B160" s="505" t="s">
        <v>1503</v>
      </c>
      <c r="C160" s="483">
        <v>1.93</v>
      </c>
      <c r="D160" s="500">
        <v>3.5</v>
      </c>
      <c r="E160" s="500">
        <v>3</v>
      </c>
      <c r="F160" s="506">
        <v>0.3125</v>
      </c>
      <c r="G160" s="483">
        <v>6.6</v>
      </c>
    </row>
    <row r="161" spans="1:7" ht="15.75" x14ac:dyDescent="0.25">
      <c r="A161" s="488">
        <v>110</v>
      </c>
      <c r="B161" s="505" t="s">
        <v>1504</v>
      </c>
      <c r="C161" s="483">
        <v>1.56</v>
      </c>
      <c r="D161" s="500">
        <v>3.5</v>
      </c>
      <c r="E161" s="500">
        <v>3</v>
      </c>
      <c r="F161" s="506">
        <v>0.25</v>
      </c>
      <c r="G161" s="483">
        <v>5.4</v>
      </c>
    </row>
    <row r="162" spans="1:7" ht="15.75" x14ac:dyDescent="0.25">
      <c r="A162" s="488">
        <v>111</v>
      </c>
      <c r="B162" s="505" t="s">
        <v>1505</v>
      </c>
      <c r="C162" s="483">
        <v>2.75</v>
      </c>
      <c r="D162" s="500">
        <v>3.5</v>
      </c>
      <c r="E162" s="500">
        <v>2.5</v>
      </c>
      <c r="F162" s="506">
        <v>0.5</v>
      </c>
      <c r="G162" s="483">
        <v>9.4</v>
      </c>
    </row>
    <row r="163" spans="1:7" ht="15.75" x14ac:dyDescent="0.25">
      <c r="A163" s="488">
        <v>112</v>
      </c>
      <c r="B163" s="505" t="s">
        <v>1506</v>
      </c>
      <c r="C163" s="483">
        <v>2.4300000000000002</v>
      </c>
      <c r="D163" s="500">
        <v>3.5</v>
      </c>
      <c r="E163" s="500">
        <v>2.5</v>
      </c>
      <c r="F163" s="506">
        <v>0.4375</v>
      </c>
      <c r="G163" s="483">
        <v>8.3000000000000007</v>
      </c>
    </row>
    <row r="164" spans="1:7" ht="15.75" x14ac:dyDescent="0.25">
      <c r="A164" s="488">
        <v>113</v>
      </c>
      <c r="B164" s="505" t="s">
        <v>1507</v>
      </c>
      <c r="C164" s="483">
        <v>2.11</v>
      </c>
      <c r="D164" s="500">
        <v>3.5</v>
      </c>
      <c r="E164" s="500">
        <v>2.5</v>
      </c>
      <c r="F164" s="506">
        <v>0.375</v>
      </c>
      <c r="G164" s="483">
        <v>7.2</v>
      </c>
    </row>
    <row r="165" spans="1:7" ht="15.75" x14ac:dyDescent="0.25">
      <c r="A165" s="488">
        <v>114</v>
      </c>
      <c r="B165" s="505" t="s">
        <v>1508</v>
      </c>
      <c r="C165" s="483">
        <v>1.78</v>
      </c>
      <c r="D165" s="500">
        <v>3.5</v>
      </c>
      <c r="E165" s="500">
        <v>2.5</v>
      </c>
      <c r="F165" s="506">
        <v>0.3125</v>
      </c>
      <c r="G165" s="483">
        <v>6.1</v>
      </c>
    </row>
    <row r="166" spans="1:7" ht="15.75" x14ac:dyDescent="0.25">
      <c r="A166" s="488">
        <v>115</v>
      </c>
      <c r="B166" s="505" t="s">
        <v>1509</v>
      </c>
      <c r="C166" s="483">
        <v>1.44</v>
      </c>
      <c r="D166" s="500">
        <v>3.5</v>
      </c>
      <c r="E166" s="500">
        <v>2.5</v>
      </c>
      <c r="F166" s="506">
        <v>0.25</v>
      </c>
      <c r="G166" s="483">
        <v>4.9000000000000004</v>
      </c>
    </row>
    <row r="167" spans="1:7" ht="15.75" x14ac:dyDescent="0.25">
      <c r="A167" s="488">
        <v>116</v>
      </c>
      <c r="B167" s="505" t="s">
        <v>1510</v>
      </c>
      <c r="C167" s="483">
        <v>2.5</v>
      </c>
      <c r="D167" s="500">
        <v>3</v>
      </c>
      <c r="E167" s="500">
        <v>2.5</v>
      </c>
      <c r="F167" s="506">
        <v>0.5</v>
      </c>
      <c r="G167" s="483">
        <v>8.5</v>
      </c>
    </row>
    <row r="168" spans="1:7" ht="15.75" x14ac:dyDescent="0.25">
      <c r="A168" s="488">
        <v>117</v>
      </c>
      <c r="B168" s="505" t="s">
        <v>1511</v>
      </c>
      <c r="C168" s="483">
        <v>2.21</v>
      </c>
      <c r="D168" s="500">
        <v>3</v>
      </c>
      <c r="E168" s="500">
        <v>2.5</v>
      </c>
      <c r="F168" s="506">
        <v>0.4375</v>
      </c>
      <c r="G168" s="483">
        <v>7.6</v>
      </c>
    </row>
    <row r="169" spans="1:7" ht="15.75" x14ac:dyDescent="0.25">
      <c r="A169" s="488">
        <v>118</v>
      </c>
      <c r="B169" s="505" t="s">
        <v>1512</v>
      </c>
      <c r="C169" s="483">
        <v>1.92</v>
      </c>
      <c r="D169" s="500">
        <v>3</v>
      </c>
      <c r="E169" s="500">
        <v>2.5</v>
      </c>
      <c r="F169" s="506">
        <v>0.375</v>
      </c>
      <c r="G169" s="483">
        <v>6.6</v>
      </c>
    </row>
    <row r="170" spans="1:7" ht="15.75" x14ac:dyDescent="0.25">
      <c r="A170" s="488">
        <v>119</v>
      </c>
      <c r="B170" s="505" t="s">
        <v>1513</v>
      </c>
      <c r="C170" s="483">
        <v>1.62</v>
      </c>
      <c r="D170" s="500">
        <v>3</v>
      </c>
      <c r="E170" s="500">
        <v>2.5</v>
      </c>
      <c r="F170" s="506">
        <v>0.3125</v>
      </c>
      <c r="G170" s="483">
        <v>5.6</v>
      </c>
    </row>
    <row r="171" spans="1:7" ht="15.75" x14ac:dyDescent="0.25">
      <c r="A171" s="488">
        <v>120</v>
      </c>
      <c r="B171" s="505" t="s">
        <v>1514</v>
      </c>
      <c r="C171" s="483">
        <v>1.31</v>
      </c>
      <c r="D171" s="500">
        <v>3</v>
      </c>
      <c r="E171" s="500">
        <v>2.5</v>
      </c>
      <c r="F171" s="506">
        <v>0.25</v>
      </c>
      <c r="G171" s="483">
        <v>4.5</v>
      </c>
    </row>
    <row r="172" spans="1:7" ht="15.75" x14ac:dyDescent="0.25">
      <c r="A172" s="488">
        <v>121</v>
      </c>
      <c r="B172" s="505" t="s">
        <v>1515</v>
      </c>
      <c r="C172" s="483">
        <v>0.996</v>
      </c>
      <c r="D172" s="500">
        <v>3</v>
      </c>
      <c r="E172" s="500">
        <v>2.5</v>
      </c>
      <c r="F172" s="506">
        <v>0.1875</v>
      </c>
      <c r="G172" s="483">
        <v>3.39</v>
      </c>
    </row>
    <row r="173" spans="1:7" ht="15.75" x14ac:dyDescent="0.25">
      <c r="A173" s="488">
        <v>122</v>
      </c>
      <c r="B173" s="505" t="s">
        <v>1516</v>
      </c>
      <c r="C173" s="483">
        <v>2.25</v>
      </c>
      <c r="D173" s="500">
        <v>3</v>
      </c>
      <c r="E173" s="500">
        <v>2</v>
      </c>
      <c r="F173" s="506">
        <v>0.5</v>
      </c>
      <c r="G173" s="483">
        <v>7.7</v>
      </c>
    </row>
    <row r="174" spans="1:7" ht="15.75" x14ac:dyDescent="0.25">
      <c r="A174" s="488">
        <v>123</v>
      </c>
      <c r="B174" s="505" t="s">
        <v>1517</v>
      </c>
      <c r="C174" s="483">
        <v>2</v>
      </c>
      <c r="D174" s="500">
        <v>3</v>
      </c>
      <c r="E174" s="500">
        <v>2</v>
      </c>
      <c r="F174" s="506">
        <v>0.4375</v>
      </c>
      <c r="G174" s="483">
        <v>6.8</v>
      </c>
    </row>
    <row r="175" spans="1:7" ht="15.75" x14ac:dyDescent="0.25">
      <c r="A175" s="488">
        <v>124</v>
      </c>
      <c r="B175" s="505" t="s">
        <v>1518</v>
      </c>
      <c r="C175" s="483">
        <v>1.73</v>
      </c>
      <c r="D175" s="500">
        <v>3</v>
      </c>
      <c r="E175" s="500">
        <v>2</v>
      </c>
      <c r="F175" s="506">
        <v>0.375</v>
      </c>
      <c r="G175" s="483">
        <v>5.9</v>
      </c>
    </row>
    <row r="176" spans="1:7" ht="15.75" x14ac:dyDescent="0.25">
      <c r="A176" s="488">
        <v>125</v>
      </c>
      <c r="B176" s="505" t="s">
        <v>1519</v>
      </c>
      <c r="C176" s="483">
        <v>1.46</v>
      </c>
      <c r="D176" s="500">
        <v>3</v>
      </c>
      <c r="E176" s="500">
        <v>2</v>
      </c>
      <c r="F176" s="506">
        <v>0.3125</v>
      </c>
      <c r="G176" s="483">
        <v>5</v>
      </c>
    </row>
    <row r="177" spans="1:7" ht="15.75" x14ac:dyDescent="0.25">
      <c r="A177" s="488">
        <v>126</v>
      </c>
      <c r="B177" s="505" t="s">
        <v>1520</v>
      </c>
      <c r="C177" s="483">
        <v>1.19</v>
      </c>
      <c r="D177" s="500">
        <v>3</v>
      </c>
      <c r="E177" s="500">
        <v>2</v>
      </c>
      <c r="F177" s="506">
        <v>0.25</v>
      </c>
      <c r="G177" s="483">
        <v>4.0999999999999996</v>
      </c>
    </row>
    <row r="178" spans="1:7" ht="15.75" x14ac:dyDescent="0.25">
      <c r="A178" s="488">
        <v>127</v>
      </c>
      <c r="B178" s="505" t="s">
        <v>1521</v>
      </c>
      <c r="C178" s="483">
        <v>0.90200000000000002</v>
      </c>
      <c r="D178" s="500">
        <v>3</v>
      </c>
      <c r="E178" s="500">
        <v>2</v>
      </c>
      <c r="F178" s="506">
        <v>0.1875</v>
      </c>
      <c r="G178" s="483">
        <v>3.07</v>
      </c>
    </row>
    <row r="179" spans="1:7" ht="15.75" x14ac:dyDescent="0.25">
      <c r="A179" s="488">
        <v>128</v>
      </c>
      <c r="B179" s="505" t="s">
        <v>1522</v>
      </c>
      <c r="C179" s="483">
        <v>1.55</v>
      </c>
      <c r="D179" s="500">
        <v>2.5</v>
      </c>
      <c r="E179" s="500">
        <v>2</v>
      </c>
      <c r="F179" s="506">
        <v>0.375</v>
      </c>
      <c r="G179" s="483">
        <v>5.3</v>
      </c>
    </row>
    <row r="180" spans="1:7" ht="15.75" x14ac:dyDescent="0.25">
      <c r="A180" s="488">
        <v>129</v>
      </c>
      <c r="B180" s="505" t="s">
        <v>1523</v>
      </c>
      <c r="C180" s="483">
        <v>1.31</v>
      </c>
      <c r="D180" s="500">
        <v>2.5</v>
      </c>
      <c r="E180" s="500">
        <v>2</v>
      </c>
      <c r="F180" s="506">
        <v>0.3125</v>
      </c>
      <c r="G180" s="483">
        <v>4.5</v>
      </c>
    </row>
    <row r="181" spans="1:7" ht="15.75" x14ac:dyDescent="0.25">
      <c r="A181" s="488">
        <v>130</v>
      </c>
      <c r="B181" s="505" t="s">
        <v>1524</v>
      </c>
      <c r="C181" s="483">
        <v>1.06</v>
      </c>
      <c r="D181" s="500">
        <v>2.5</v>
      </c>
      <c r="E181" s="500">
        <v>2</v>
      </c>
      <c r="F181" s="506">
        <v>0.25</v>
      </c>
      <c r="G181" s="483">
        <v>3.62</v>
      </c>
    </row>
    <row r="182" spans="1:7" ht="15.75" x14ac:dyDescent="0.25">
      <c r="A182" s="488">
        <v>131</v>
      </c>
      <c r="B182" s="505" t="s">
        <v>1525</v>
      </c>
      <c r="C182" s="483">
        <v>0.80900000000000005</v>
      </c>
      <c r="D182" s="500">
        <v>2.5</v>
      </c>
      <c r="E182" s="500">
        <v>2</v>
      </c>
      <c r="F182" s="506">
        <v>0.1875</v>
      </c>
      <c r="G182" s="483">
        <v>2.75</v>
      </c>
    </row>
  </sheetData>
  <sheetProtection password="D809" sheet="1" objects="1" scenarios="1" selectLockedCells="1"/>
  <mergeCells count="4">
    <mergeCell ref="B3:C3"/>
    <mergeCell ref="A19:C19"/>
    <mergeCell ref="A20:C20"/>
    <mergeCell ref="A21:C21"/>
  </mergeCells>
  <phoneticPr fontId="15" type="noConversion"/>
  <conditionalFormatting sqref="C12:C13">
    <cfRule type="expression" dxfId="121" priority="1" stopIfTrue="1">
      <formula>(MASTERSWITCH=1)</formula>
    </cfRule>
  </conditionalFormatting>
  <conditionalFormatting sqref="A19:C21">
    <cfRule type="expression" dxfId="120" priority="2" stopIfTrue="1">
      <formula>(MASTERSWITCH=1)</formula>
    </cfRule>
  </conditionalFormatting>
  <printOptions horizontalCentered="1"/>
  <pageMargins left="0.75" right="0.75" top="1.75" bottom="1.5" header="0.5" footer="0.5"/>
  <pageSetup scale="77" orientation="portrait" horizontalDpi="0" verticalDpi="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3490" r:id="rId5" name="Drop Down 2">
              <controlPr locked="0" defaultSize="0" autoLine="0" autoPict="0">
                <anchor moveWithCells="1">
                  <from>
                    <xdr:col>2</xdr:col>
                    <xdr:colOff>19050</xdr:colOff>
                    <xdr:row>6</xdr:row>
                    <xdr:rowOff>190500</xdr:rowOff>
                  </from>
                  <to>
                    <xdr:col>3</xdr:col>
                    <xdr:colOff>342900</xdr:colOff>
                    <xdr:row>8</xdr:row>
                    <xdr:rowOff>28575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pageSetUpPr fitToPage="1"/>
  </sheetPr>
  <dimension ref="A1:G28"/>
  <sheetViews>
    <sheetView showRowColHeaders="0" workbookViewId="0">
      <selection activeCell="C12" sqref="C12"/>
    </sheetView>
  </sheetViews>
  <sheetFormatPr defaultRowHeight="12.75" x14ac:dyDescent="0.2"/>
  <cols>
    <col min="1" max="1" width="15" style="25" customWidth="1"/>
    <col min="2" max="3" width="9.140625" style="25"/>
    <col min="4" max="4" width="11.42578125" style="25" customWidth="1"/>
    <col min="5" max="5" width="25" style="25" customWidth="1"/>
    <col min="6" max="6" width="11.7109375" style="25" customWidth="1"/>
    <col min="7" max="16384" width="9.140625" style="25"/>
  </cols>
  <sheetData>
    <row r="1" spans="1:7" x14ac:dyDescent="0.2">
      <c r="A1"/>
    </row>
    <row r="2" spans="1:7" x14ac:dyDescent="0.2">
      <c r="A2" s="26"/>
    </row>
    <row r="11" spans="1:7" ht="13.5" thickBot="1" x14ac:dyDescent="0.25"/>
    <row r="12" spans="1:7" ht="16.5" thickBot="1" x14ac:dyDescent="0.3">
      <c r="B12" s="709" t="s">
        <v>2051</v>
      </c>
      <c r="C12" s="454">
        <v>20</v>
      </c>
      <c r="D12" s="455" t="s">
        <v>2026</v>
      </c>
      <c r="E12" s="456" t="s">
        <v>2052</v>
      </c>
      <c r="F12" s="570">
        <f>(ROUNDUP(($C$12-($C$15-$C$15))*$C$14+($C$13*$C$15)*2,0)*($C$16*12)*$F$16)</f>
        <v>68.055555555555557</v>
      </c>
      <c r="G12" s="455" t="s">
        <v>2014</v>
      </c>
    </row>
    <row r="13" spans="1:7" ht="16.5" thickBot="1" x14ac:dyDescent="0.3">
      <c r="B13" s="709" t="s">
        <v>2053</v>
      </c>
      <c r="C13" s="454">
        <v>6.2</v>
      </c>
      <c r="D13" s="455" t="s">
        <v>2026</v>
      </c>
      <c r="F13" s="570">
        <f>F12/2000</f>
        <v>3.4027777777777782E-2</v>
      </c>
      <c r="G13" s="455" t="s">
        <v>1962</v>
      </c>
    </row>
    <row r="14" spans="1:7" ht="16.5" thickBot="1" x14ac:dyDescent="0.3">
      <c r="B14" s="709" t="s">
        <v>2054</v>
      </c>
      <c r="C14" s="454">
        <v>0.5</v>
      </c>
      <c r="D14" s="455" t="s">
        <v>2026</v>
      </c>
    </row>
    <row r="15" spans="1:7" ht="16.5" thickBot="1" x14ac:dyDescent="0.3">
      <c r="B15" s="709" t="s">
        <v>2055</v>
      </c>
      <c r="C15" s="454">
        <v>0.8</v>
      </c>
      <c r="D15" s="455" t="s">
        <v>2026</v>
      </c>
      <c r="F15" s="35">
        <v>2</v>
      </c>
    </row>
    <row r="16" spans="1:7" ht="16.5" thickBot="1" x14ac:dyDescent="0.3">
      <c r="B16" s="709" t="s">
        <v>2056</v>
      </c>
      <c r="C16" s="457">
        <v>1</v>
      </c>
      <c r="D16" s="205" t="s">
        <v>2057</v>
      </c>
      <c r="E16" s="482" t="s">
        <v>1128</v>
      </c>
      <c r="F16" s="50">
        <f>LOOKUP(F15,Weights!B40:B49,Weights!E40:E49)</f>
        <v>0.28356481481481483</v>
      </c>
    </row>
    <row r="17" spans="1:4" ht="15.75" x14ac:dyDescent="0.25">
      <c r="B17" s="710"/>
      <c r="C17" s="711"/>
      <c r="D17" s="205"/>
    </row>
    <row r="18" spans="1:4" x14ac:dyDescent="0.2">
      <c r="B18" s="56"/>
      <c r="C18" s="56"/>
    </row>
    <row r="19" spans="1:4" x14ac:dyDescent="0.2">
      <c r="B19" s="56"/>
      <c r="C19" s="56"/>
    </row>
    <row r="26" spans="1:4" x14ac:dyDescent="0.2">
      <c r="A26" s="898" t="str">
        <f>IF(MASTERSWITCH=1,"EVALUATION PERIOD EXPIRED!","")</f>
        <v/>
      </c>
      <c r="B26" s="898"/>
      <c r="C26" s="898"/>
    </row>
    <row r="27" spans="1:4" x14ac:dyDescent="0.2">
      <c r="A27" s="898" t="str">
        <f>IF(MASTERSWITCH=1,"PLEASE PURCHASE LICENSE TO","")</f>
        <v/>
      </c>
      <c r="B27" s="898"/>
      <c r="C27" s="898"/>
    </row>
    <row r="28" spans="1:4" x14ac:dyDescent="0.2">
      <c r="A28" s="898" t="str">
        <f>IF(MASTERSWITCH=1,"CONTINUE USING THIS PROGRAM","")</f>
        <v/>
      </c>
      <c r="B28" s="898"/>
      <c r="C28" s="898"/>
    </row>
  </sheetData>
  <sheetProtection password="D809" sheet="1" objects="1" scenarios="1" selectLockedCells="1"/>
  <mergeCells count="3">
    <mergeCell ref="A26:C26"/>
    <mergeCell ref="A27:C27"/>
    <mergeCell ref="A28:C28"/>
  </mergeCells>
  <phoneticPr fontId="15" type="noConversion"/>
  <conditionalFormatting sqref="A26:C28">
    <cfRule type="expression" dxfId="119" priority="1" stopIfTrue="1">
      <formula>(MASTERSWITCH=1)</formula>
    </cfRule>
  </conditionalFormatting>
  <conditionalFormatting sqref="C12:C16">
    <cfRule type="expression" dxfId="118" priority="2" stopIfTrue="1">
      <formula>(MASTERSWITCH=1)</formula>
    </cfRule>
  </conditionalFormatting>
  <printOptions horizontalCentered="1"/>
  <pageMargins left="0.75" right="0.75" top="1.75" bottom="1.5" header="0.5" footer="0.5"/>
  <pageSetup scale="91" orientation="portrait" horizontalDpi="0" verticalDpi="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6390" r:id="rId5" name="Drop Down 6">
              <controlPr locked="0" defaultSize="0" autoLine="0" autoPict="0">
                <anchor moveWithCells="1">
                  <from>
                    <xdr:col>4</xdr:col>
                    <xdr:colOff>666750</xdr:colOff>
                    <xdr:row>14</xdr:row>
                    <xdr:rowOff>0</xdr:rowOff>
                  </from>
                  <to>
                    <xdr:col>5</xdr:col>
                    <xdr:colOff>771525</xdr:colOff>
                    <xdr:row>14</xdr:row>
                    <xdr:rowOff>200025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S50"/>
  <sheetViews>
    <sheetView showRowColHeaders="0" topLeftCell="A7" workbookViewId="0">
      <selection activeCell="C3" sqref="C3"/>
    </sheetView>
  </sheetViews>
  <sheetFormatPr defaultRowHeight="12.75" x14ac:dyDescent="0.2"/>
  <cols>
    <col min="1" max="1" width="14.7109375" customWidth="1"/>
    <col min="3" max="3" width="9.7109375" customWidth="1"/>
    <col min="4" max="4" width="13.5703125" customWidth="1"/>
    <col min="12" max="12" width="6.7109375" customWidth="1"/>
  </cols>
  <sheetData>
    <row r="1" spans="1:19" x14ac:dyDescent="0.2">
      <c r="B1" s="603"/>
      <c r="C1" s="25"/>
      <c r="D1" s="25"/>
      <c r="E1" s="25"/>
      <c r="F1" s="25"/>
      <c r="G1" s="25"/>
      <c r="H1" s="25"/>
      <c r="I1" s="25"/>
      <c r="J1" s="25"/>
      <c r="K1" s="25"/>
      <c r="L1" s="25"/>
      <c r="M1" s="25"/>
      <c r="N1" s="25"/>
      <c r="O1" s="25"/>
      <c r="P1" s="25"/>
      <c r="Q1" s="25"/>
      <c r="R1" s="25"/>
      <c r="S1" s="25"/>
    </row>
    <row r="2" spans="1:19" ht="23.25" x14ac:dyDescent="0.35">
      <c r="A2" s="26"/>
      <c r="B2" s="25"/>
      <c r="C2" s="25"/>
      <c r="D2" s="25"/>
      <c r="E2" s="25"/>
      <c r="F2" s="903" t="s">
        <v>1052</v>
      </c>
      <c r="G2" s="903"/>
      <c r="H2" s="903"/>
      <c r="I2" s="903"/>
      <c r="J2" s="903"/>
      <c r="K2" s="903"/>
      <c r="L2" s="25"/>
      <c r="M2" s="25"/>
      <c r="N2" s="25"/>
      <c r="O2" s="25"/>
      <c r="P2" s="25"/>
      <c r="Q2" s="25"/>
      <c r="R2" s="25"/>
      <c r="S2" s="25"/>
    </row>
    <row r="3" spans="1:19" x14ac:dyDescent="0.2">
      <c r="A3" s="25"/>
      <c r="B3" s="507" t="s">
        <v>1054</v>
      </c>
      <c r="C3" s="714">
        <v>7</v>
      </c>
      <c r="D3" s="25"/>
      <c r="E3" s="25"/>
      <c r="F3" s="904" t="s">
        <v>1458</v>
      </c>
      <c r="G3" s="904"/>
      <c r="H3" s="904"/>
      <c r="I3" s="904"/>
      <c r="J3" s="904"/>
      <c r="K3" s="904"/>
      <c r="L3" s="25"/>
      <c r="M3" s="25"/>
      <c r="N3" s="25"/>
      <c r="O3" s="25"/>
      <c r="P3" s="25"/>
      <c r="Q3" s="25"/>
      <c r="R3" s="25"/>
      <c r="S3" s="25"/>
    </row>
    <row r="4" spans="1:19" ht="14.25" x14ac:dyDescent="0.2">
      <c r="A4" s="25"/>
      <c r="B4" s="508" t="s">
        <v>1053</v>
      </c>
      <c r="C4" s="714">
        <v>9</v>
      </c>
      <c r="D4" s="25"/>
      <c r="E4" s="25"/>
      <c r="F4" s="905" t="str">
        <f>IF(C5&lt;30,"Angles less than 30° are NOT recommended","")</f>
        <v/>
      </c>
      <c r="G4" s="905"/>
      <c r="H4" s="905"/>
      <c r="I4" s="905"/>
      <c r="J4" s="905"/>
      <c r="K4" s="905"/>
      <c r="L4" s="25"/>
      <c r="M4" s="25"/>
      <c r="N4" s="25"/>
      <c r="O4" s="25"/>
      <c r="P4" s="25"/>
      <c r="Q4" s="25"/>
      <c r="R4" s="25"/>
      <c r="S4" s="25"/>
    </row>
    <row r="5" spans="1:19" x14ac:dyDescent="0.2">
      <c r="A5" s="25"/>
      <c r="B5" s="513" t="s">
        <v>1044</v>
      </c>
      <c r="C5" s="712">
        <f>DEGREES(ATAN2(C3,C6))</f>
        <v>38.942441268981383</v>
      </c>
      <c r="D5" s="25" t="s">
        <v>2108</v>
      </c>
      <c r="E5" s="25"/>
      <c r="F5" s="25"/>
      <c r="G5" s="25"/>
      <c r="H5" s="509"/>
      <c r="I5" s="25"/>
      <c r="J5" s="25"/>
      <c r="K5" s="25"/>
      <c r="L5" s="25"/>
      <c r="M5" s="25"/>
      <c r="N5" s="25"/>
      <c r="O5" s="25"/>
      <c r="P5" s="25"/>
      <c r="Q5" s="25"/>
      <c r="R5" s="25"/>
      <c r="S5" s="25"/>
    </row>
    <row r="6" spans="1:19" x14ac:dyDescent="0.2">
      <c r="A6" s="25"/>
      <c r="B6" s="513" t="s">
        <v>1055</v>
      </c>
      <c r="C6" s="515">
        <f>SQRT(((C4*C4)-(C3*C3)))</f>
        <v>5.6568542494923806</v>
      </c>
      <c r="D6" s="25"/>
      <c r="E6" s="25"/>
      <c r="F6" s="25"/>
      <c r="G6" s="25"/>
      <c r="H6" s="25"/>
      <c r="I6" s="25"/>
      <c r="J6" s="25"/>
      <c r="K6" s="25"/>
      <c r="L6" s="25"/>
      <c r="M6" s="25"/>
      <c r="N6" s="25"/>
      <c r="O6" s="25"/>
      <c r="P6" s="25"/>
      <c r="Q6" s="25"/>
      <c r="R6" s="25"/>
      <c r="S6" s="25"/>
    </row>
    <row r="7" spans="1:19" x14ac:dyDescent="0.2">
      <c r="A7" s="25"/>
      <c r="B7" s="25"/>
      <c r="C7" s="25"/>
      <c r="D7" s="25"/>
      <c r="E7" s="25"/>
      <c r="F7" s="25"/>
      <c r="G7" s="25"/>
      <c r="H7" s="25"/>
      <c r="I7" s="25"/>
      <c r="J7" s="25"/>
      <c r="K7" s="25"/>
      <c r="L7" s="25"/>
      <c r="M7" s="25"/>
      <c r="N7" s="25"/>
      <c r="O7" s="25"/>
      <c r="P7" s="25"/>
      <c r="Q7" s="25"/>
      <c r="R7" s="25"/>
      <c r="S7" s="25"/>
    </row>
    <row r="8" spans="1:19" x14ac:dyDescent="0.2">
      <c r="A8" s="25"/>
      <c r="B8" s="898" t="str">
        <f>IF(MASTERSWITCH=1,"EVALUATION PERIOD EXPIRED!","")</f>
        <v/>
      </c>
      <c r="C8" s="898"/>
      <c r="D8" s="898"/>
      <c r="E8" s="25"/>
      <c r="F8" s="25"/>
      <c r="G8" s="25"/>
      <c r="H8" s="25"/>
      <c r="I8" s="25"/>
      <c r="J8" s="25"/>
      <c r="K8" s="25"/>
      <c r="L8" s="25"/>
      <c r="M8" s="25"/>
      <c r="N8" s="25"/>
      <c r="O8" s="25"/>
      <c r="P8" s="25"/>
      <c r="Q8" s="25"/>
      <c r="R8" s="25"/>
      <c r="S8" s="25"/>
    </row>
    <row r="9" spans="1:19" x14ac:dyDescent="0.2">
      <c r="A9" s="25"/>
      <c r="B9" s="898" t="str">
        <f>IF(MASTERSWITCH=1,"PLEASE PURCHASE LICENSE TO","")</f>
        <v/>
      </c>
      <c r="C9" s="898"/>
      <c r="D9" s="898"/>
      <c r="E9" s="25"/>
      <c r="F9" s="25"/>
      <c r="G9" s="25"/>
      <c r="H9" s="25"/>
      <c r="I9" s="50"/>
      <c r="J9" s="25"/>
      <c r="K9" s="25"/>
      <c r="L9" s="25"/>
      <c r="M9" s="25"/>
      <c r="N9" s="25"/>
      <c r="O9" s="25"/>
      <c r="P9" s="25"/>
      <c r="Q9" s="25"/>
      <c r="R9" s="25"/>
      <c r="S9" s="25"/>
    </row>
    <row r="10" spans="1:19" ht="13.5" thickBot="1" x14ac:dyDescent="0.25">
      <c r="A10" s="25"/>
      <c r="B10" s="898" t="str">
        <f>IF(MASTERSWITCH=1,"CONTINUE USING THIS PROGRAM","")</f>
        <v/>
      </c>
      <c r="C10" s="898"/>
      <c r="D10" s="898"/>
      <c r="E10" s="25"/>
      <c r="F10" s="25"/>
      <c r="G10" s="25"/>
      <c r="H10" s="25"/>
      <c r="I10" s="25"/>
      <c r="J10" s="25"/>
      <c r="K10" s="25"/>
      <c r="L10" s="25"/>
      <c r="M10" s="25"/>
      <c r="N10" s="25"/>
      <c r="O10" s="25"/>
      <c r="P10" s="25"/>
      <c r="Q10" s="25"/>
      <c r="R10" s="25"/>
      <c r="S10" s="25"/>
    </row>
    <row r="11" spans="1:19" ht="16.5" thickBot="1" x14ac:dyDescent="0.3">
      <c r="A11" s="25"/>
      <c r="B11" s="70"/>
      <c r="C11" s="70"/>
      <c r="D11" s="25"/>
      <c r="E11" s="25"/>
      <c r="F11" s="25"/>
      <c r="G11" s="25"/>
      <c r="H11" s="25"/>
      <c r="I11" s="25"/>
      <c r="J11" s="571">
        <f>C4</f>
        <v>9</v>
      </c>
      <c r="K11" s="25"/>
      <c r="L11" s="25"/>
      <c r="M11" s="25"/>
      <c r="N11" s="25"/>
      <c r="O11" s="25"/>
      <c r="P11" s="25"/>
      <c r="Q11" s="25"/>
      <c r="R11" s="25"/>
      <c r="S11" s="25"/>
    </row>
    <row r="12" spans="1:19" ht="16.5" thickBot="1" x14ac:dyDescent="0.3">
      <c r="A12" s="839" t="s">
        <v>1606</v>
      </c>
      <c r="B12" s="839"/>
      <c r="C12" s="520">
        <v>10000</v>
      </c>
      <c r="D12" s="25"/>
      <c r="E12" s="510">
        <f>C6</f>
        <v>5.6568542494923806</v>
      </c>
      <c r="F12" s="25"/>
      <c r="G12" s="25"/>
      <c r="H12" s="25"/>
      <c r="I12" s="25"/>
      <c r="J12" s="25"/>
      <c r="K12" s="25"/>
      <c r="L12" s="25"/>
      <c r="M12" s="25"/>
      <c r="N12" s="25"/>
      <c r="O12" s="25"/>
      <c r="P12" s="25"/>
      <c r="Q12" s="25"/>
      <c r="R12" s="25"/>
      <c r="S12" s="25"/>
    </row>
    <row r="13" spans="1:19" x14ac:dyDescent="0.2">
      <c r="A13" s="839" t="s">
        <v>1056</v>
      </c>
      <c r="B13" s="839"/>
      <c r="C13" s="519">
        <f>(C12/2)*(C4/C6)</f>
        <v>7954.9512883486595</v>
      </c>
      <c r="D13" s="25"/>
      <c r="E13" s="25"/>
      <c r="F13" s="25"/>
      <c r="G13" s="25"/>
      <c r="H13" s="25"/>
      <c r="I13" s="25"/>
      <c r="J13" s="25"/>
      <c r="K13" s="25"/>
      <c r="L13" s="25"/>
      <c r="M13" s="25"/>
      <c r="N13" s="25"/>
      <c r="O13" s="25"/>
      <c r="P13" s="25"/>
      <c r="Q13" s="25"/>
      <c r="R13" s="25"/>
      <c r="S13" s="25"/>
    </row>
    <row r="14" spans="1:19" ht="13.5" thickBot="1" x14ac:dyDescent="0.25">
      <c r="A14" s="839" t="s">
        <v>1057</v>
      </c>
      <c r="B14" s="839"/>
      <c r="C14" s="519">
        <f>C13</f>
        <v>7954.9512883486595</v>
      </c>
      <c r="D14" s="25"/>
      <c r="E14" s="25"/>
      <c r="F14" s="25"/>
      <c r="G14" s="25"/>
      <c r="H14" s="25"/>
      <c r="I14" s="25"/>
      <c r="J14" s="25"/>
      <c r="K14" s="25"/>
      <c r="L14" s="25"/>
      <c r="M14" s="25"/>
      <c r="N14" s="25"/>
      <c r="O14" s="25"/>
      <c r="P14" s="25"/>
      <c r="Q14" s="25"/>
      <c r="R14" s="25"/>
      <c r="S14" s="25"/>
    </row>
    <row r="15" spans="1:19" ht="16.5" customHeight="1" thickBot="1" x14ac:dyDescent="0.3">
      <c r="A15" s="25"/>
      <c r="B15" s="369"/>
      <c r="C15" s="70"/>
      <c r="D15" s="25"/>
      <c r="E15" s="25"/>
      <c r="F15" s="25"/>
      <c r="G15" s="25"/>
      <c r="H15" s="25"/>
      <c r="I15" s="25"/>
      <c r="J15" s="25"/>
      <c r="K15" s="25"/>
      <c r="L15" s="511">
        <f>C5</f>
        <v>38.942441268981383</v>
      </c>
      <c r="M15" s="440" t="s">
        <v>2108</v>
      </c>
      <c r="N15" s="25"/>
      <c r="O15" s="25"/>
      <c r="P15" s="25"/>
      <c r="Q15" s="25"/>
      <c r="R15" s="25"/>
      <c r="S15" s="25"/>
    </row>
    <row r="16" spans="1:19" x14ac:dyDescent="0.2">
      <c r="A16" s="25"/>
      <c r="B16" s="25"/>
      <c r="C16" s="25"/>
      <c r="D16" s="25"/>
      <c r="E16" s="25"/>
      <c r="F16" s="25"/>
      <c r="G16" s="25"/>
      <c r="H16" s="25"/>
      <c r="I16" s="25"/>
      <c r="J16" s="25"/>
      <c r="K16" s="25"/>
      <c r="L16" s="25"/>
      <c r="M16" s="25"/>
      <c r="N16" s="25"/>
      <c r="O16" s="25"/>
      <c r="P16" s="25"/>
      <c r="Q16" s="25"/>
      <c r="R16" s="25"/>
      <c r="S16" s="25"/>
    </row>
    <row r="17" spans="1:19" x14ac:dyDescent="0.2">
      <c r="A17" s="25"/>
      <c r="B17" s="25"/>
      <c r="C17" s="25"/>
      <c r="D17" s="25"/>
      <c r="E17" s="25"/>
      <c r="F17" s="25"/>
      <c r="G17" s="25"/>
      <c r="H17" s="25"/>
      <c r="I17" s="25"/>
      <c r="J17" s="25"/>
      <c r="K17" s="25"/>
      <c r="L17" s="25"/>
      <c r="M17" s="25"/>
      <c r="N17" s="25"/>
      <c r="O17" s="25"/>
      <c r="P17" s="25"/>
      <c r="Q17" s="25"/>
      <c r="R17" s="25"/>
      <c r="S17" s="25"/>
    </row>
    <row r="18" spans="1:19" ht="13.5" customHeight="1" x14ac:dyDescent="0.2">
      <c r="A18" s="25"/>
      <c r="B18" s="25"/>
      <c r="C18" s="25"/>
      <c r="D18" s="25"/>
      <c r="E18" s="25"/>
      <c r="F18" s="25"/>
      <c r="G18" s="25"/>
      <c r="H18" s="25"/>
      <c r="I18" s="25"/>
      <c r="J18" s="25"/>
      <c r="K18" s="25"/>
      <c r="L18" s="25"/>
      <c r="M18" s="25"/>
      <c r="N18" s="25"/>
      <c r="O18" s="25"/>
      <c r="P18" s="25"/>
      <c r="Q18" s="25"/>
      <c r="R18" s="25"/>
      <c r="S18" s="25"/>
    </row>
    <row r="19" spans="1:19" ht="13.5" thickBot="1" x14ac:dyDescent="0.25">
      <c r="A19" s="25"/>
      <c r="B19" s="70"/>
      <c r="C19" s="70"/>
      <c r="D19" s="25"/>
      <c r="E19" s="25"/>
      <c r="F19" s="25"/>
      <c r="G19" s="25"/>
      <c r="H19" s="25"/>
      <c r="I19" s="25"/>
      <c r="J19" s="25"/>
      <c r="K19" s="25"/>
      <c r="L19" s="25"/>
      <c r="M19" s="25"/>
      <c r="N19" s="25"/>
      <c r="O19" s="25"/>
      <c r="P19" s="25"/>
      <c r="Q19" s="25"/>
      <c r="R19" s="25"/>
      <c r="S19" s="25"/>
    </row>
    <row r="20" spans="1:19" ht="16.5" thickBot="1" x14ac:dyDescent="0.3">
      <c r="A20" s="25"/>
      <c r="B20" s="70"/>
      <c r="C20" s="70"/>
      <c r="D20" s="25"/>
      <c r="E20" s="25"/>
      <c r="F20" s="25"/>
      <c r="G20" s="25"/>
      <c r="H20" s="25"/>
      <c r="I20" s="571">
        <f>C3</f>
        <v>7</v>
      </c>
      <c r="J20" s="25"/>
      <c r="K20" s="25"/>
      <c r="L20" s="25"/>
      <c r="M20" s="25"/>
      <c r="N20" s="25"/>
      <c r="O20" s="25"/>
      <c r="P20" s="25"/>
      <c r="Q20" s="25"/>
      <c r="R20" s="25"/>
      <c r="S20" s="25"/>
    </row>
    <row r="21" spans="1:19" x14ac:dyDescent="0.2">
      <c r="A21" s="25"/>
      <c r="B21" s="70"/>
      <c r="C21" s="70"/>
      <c r="D21" s="25"/>
      <c r="E21" s="25"/>
      <c r="F21" s="25"/>
      <c r="G21" s="25"/>
      <c r="H21" s="25"/>
      <c r="I21" s="25"/>
      <c r="J21" s="25"/>
      <c r="K21" s="25"/>
      <c r="L21" s="25"/>
      <c r="M21" s="25"/>
      <c r="N21" s="25"/>
      <c r="O21" s="25"/>
      <c r="P21" s="25"/>
      <c r="Q21" s="25"/>
      <c r="R21" s="25"/>
      <c r="S21" s="25"/>
    </row>
    <row r="22" spans="1:19" x14ac:dyDescent="0.2">
      <c r="A22" s="25"/>
      <c r="B22" s="70"/>
      <c r="C22" s="70"/>
      <c r="D22" s="25"/>
      <c r="E22" s="25"/>
      <c r="G22" s="25"/>
      <c r="H22" s="25"/>
      <c r="I22" s="25"/>
      <c r="J22" s="25"/>
      <c r="L22" s="25"/>
      <c r="M22" s="25"/>
      <c r="N22" s="25"/>
      <c r="O22" s="25"/>
      <c r="P22" s="25"/>
      <c r="Q22" s="25"/>
      <c r="R22" s="25"/>
      <c r="S22" s="25"/>
    </row>
    <row r="23" spans="1:19" x14ac:dyDescent="0.2">
      <c r="A23" s="25"/>
      <c r="B23" s="70"/>
      <c r="C23" s="70"/>
      <c r="D23" s="25"/>
      <c r="E23" s="25"/>
      <c r="F23" s="25"/>
      <c r="G23" s="25"/>
      <c r="H23" s="25"/>
      <c r="I23" s="25"/>
      <c r="J23" s="25"/>
      <c r="K23" s="25"/>
      <c r="L23" s="25"/>
      <c r="M23" s="25"/>
      <c r="N23" s="25"/>
      <c r="O23" s="25"/>
      <c r="P23" s="25"/>
      <c r="Q23" s="25"/>
      <c r="R23" s="25"/>
      <c r="S23" s="25"/>
    </row>
    <row r="24" spans="1:19" x14ac:dyDescent="0.2">
      <c r="A24" s="25"/>
      <c r="B24" s="369"/>
      <c r="C24" s="255"/>
      <c r="D24" s="25"/>
      <c r="E24" s="25"/>
      <c r="F24" s="25"/>
      <c r="G24" s="25"/>
      <c r="H24" s="25"/>
      <c r="I24" s="25"/>
      <c r="J24" s="25"/>
      <c r="K24" s="25"/>
      <c r="L24" s="25"/>
      <c r="M24" s="25"/>
      <c r="N24" s="25"/>
      <c r="O24" s="25"/>
      <c r="P24" s="25"/>
      <c r="Q24" s="25"/>
      <c r="R24" s="25"/>
      <c r="S24" s="25"/>
    </row>
    <row r="25" spans="1:19" x14ac:dyDescent="0.2">
      <c r="A25" s="25"/>
      <c r="B25" s="369"/>
      <c r="C25" s="255"/>
      <c r="D25" s="25"/>
      <c r="E25" s="25"/>
      <c r="F25" s="25"/>
      <c r="G25" s="25"/>
      <c r="H25" s="25"/>
      <c r="I25" s="25"/>
      <c r="J25" s="25"/>
      <c r="K25" s="25"/>
      <c r="L25" s="25"/>
      <c r="M25" s="25"/>
      <c r="N25" s="25"/>
      <c r="O25" s="25"/>
      <c r="P25" s="25"/>
      <c r="Q25" s="25"/>
      <c r="R25" s="25"/>
      <c r="S25" s="25"/>
    </row>
    <row r="26" spans="1:19" x14ac:dyDescent="0.2">
      <c r="A26" s="25"/>
      <c r="B26" s="369"/>
      <c r="C26" s="516"/>
      <c r="D26" s="25"/>
      <c r="E26" s="25"/>
      <c r="F26" s="25"/>
      <c r="G26" s="25"/>
      <c r="H26" s="25"/>
      <c r="I26" s="25"/>
      <c r="J26" s="25"/>
      <c r="K26" s="25"/>
      <c r="L26" s="25"/>
      <c r="M26" s="25"/>
      <c r="N26" s="25"/>
      <c r="O26" s="25"/>
      <c r="P26" s="25"/>
      <c r="Q26" s="25"/>
      <c r="R26" s="25"/>
      <c r="S26" s="25"/>
    </row>
    <row r="27" spans="1:19" x14ac:dyDescent="0.2">
      <c r="A27" s="25"/>
      <c r="B27" s="369"/>
      <c r="C27" s="517"/>
      <c r="D27" s="25"/>
      <c r="E27" s="25"/>
      <c r="F27" s="25"/>
      <c r="G27" s="25"/>
      <c r="H27" s="25"/>
      <c r="I27" s="25"/>
      <c r="J27" s="25"/>
      <c r="K27" s="25"/>
      <c r="L27" s="25"/>
      <c r="M27" s="25"/>
      <c r="N27" s="25"/>
      <c r="O27" s="25"/>
      <c r="P27" s="25"/>
      <c r="Q27" s="25"/>
      <c r="R27" s="25"/>
      <c r="S27" s="25"/>
    </row>
    <row r="28" spans="1:19" x14ac:dyDescent="0.2">
      <c r="A28" s="25"/>
      <c r="B28" s="70"/>
      <c r="C28" s="70"/>
      <c r="D28" s="25"/>
      <c r="E28" s="25"/>
      <c r="F28" s="25"/>
      <c r="G28" s="25"/>
      <c r="H28" s="25"/>
      <c r="I28" s="25"/>
      <c r="J28" s="25"/>
      <c r="K28" s="25"/>
      <c r="L28" s="25"/>
      <c r="M28" s="25"/>
      <c r="N28" s="25"/>
      <c r="O28" s="25"/>
      <c r="P28" s="25"/>
      <c r="Q28" s="25"/>
      <c r="R28" s="25"/>
      <c r="S28" s="25"/>
    </row>
    <row r="29" spans="1:19" x14ac:dyDescent="0.2">
      <c r="A29" s="25"/>
      <c r="B29" s="25"/>
      <c r="C29" s="25"/>
      <c r="D29" s="25"/>
      <c r="E29" s="25"/>
      <c r="F29" s="25"/>
      <c r="G29" s="25"/>
      <c r="H29" s="25"/>
      <c r="I29" s="25"/>
      <c r="J29" s="25"/>
      <c r="K29" s="25"/>
      <c r="L29" s="25"/>
      <c r="M29" s="25"/>
      <c r="N29" s="25"/>
      <c r="O29" s="25"/>
      <c r="P29" s="25"/>
      <c r="Q29" s="25"/>
      <c r="R29" s="25"/>
      <c r="S29" s="25"/>
    </row>
    <row r="30" spans="1:19" x14ac:dyDescent="0.2">
      <c r="A30" s="25"/>
      <c r="B30" s="25"/>
      <c r="C30" s="25"/>
      <c r="D30" s="25"/>
      <c r="E30" s="25"/>
      <c r="F30" s="25"/>
      <c r="G30" s="25"/>
      <c r="H30" s="25"/>
      <c r="I30" s="25"/>
      <c r="J30" s="25"/>
      <c r="K30" s="25"/>
      <c r="L30" s="25"/>
      <c r="M30" s="25"/>
      <c r="N30" s="25"/>
      <c r="O30" s="25"/>
      <c r="P30" s="25"/>
      <c r="Q30" s="25"/>
      <c r="R30" s="25"/>
      <c r="S30" s="25"/>
    </row>
    <row r="31" spans="1:19" x14ac:dyDescent="0.2">
      <c r="A31" s="25"/>
      <c r="B31" s="25"/>
      <c r="C31" s="25"/>
      <c r="D31" s="25"/>
      <c r="E31" s="25"/>
      <c r="F31" s="25"/>
      <c r="G31" s="25"/>
      <c r="H31" s="25"/>
      <c r="I31" s="25"/>
      <c r="J31" s="25"/>
      <c r="K31" s="25"/>
      <c r="L31" s="25"/>
      <c r="M31" s="25"/>
      <c r="N31" s="25"/>
      <c r="O31" s="25"/>
      <c r="P31" s="25"/>
      <c r="Q31" s="25"/>
      <c r="R31" s="25"/>
      <c r="S31" s="25"/>
    </row>
    <row r="32" spans="1:19" x14ac:dyDescent="0.2">
      <c r="A32" s="25"/>
      <c r="B32" s="25"/>
      <c r="C32" s="25"/>
      <c r="D32" s="25"/>
      <c r="E32" s="25"/>
      <c r="F32" s="25"/>
      <c r="G32" s="25"/>
      <c r="H32" s="25"/>
      <c r="I32" s="25"/>
      <c r="J32" s="25"/>
      <c r="K32" s="25"/>
      <c r="L32" s="25"/>
      <c r="M32" s="25"/>
      <c r="N32" s="25"/>
      <c r="O32" s="25"/>
      <c r="P32" s="25"/>
      <c r="Q32" s="25"/>
      <c r="R32" s="25"/>
      <c r="S32" s="25"/>
    </row>
    <row r="33" spans="1:19" x14ac:dyDescent="0.2">
      <c r="A33" s="25"/>
      <c r="B33" s="25"/>
      <c r="C33" s="25"/>
      <c r="D33" s="25"/>
      <c r="E33" s="25"/>
      <c r="F33" s="25"/>
      <c r="G33" s="25"/>
      <c r="H33" s="25"/>
      <c r="I33" s="25"/>
      <c r="J33" s="25"/>
      <c r="K33" s="25"/>
      <c r="L33" s="25"/>
      <c r="M33" s="25"/>
      <c r="N33" s="25"/>
      <c r="O33" s="25"/>
      <c r="P33" s="25"/>
      <c r="Q33" s="25"/>
      <c r="R33" s="25"/>
      <c r="S33" s="25"/>
    </row>
    <row r="34" spans="1:19" x14ac:dyDescent="0.2">
      <c r="A34" s="25"/>
      <c r="B34" s="25"/>
      <c r="C34" s="25"/>
      <c r="D34" s="25"/>
      <c r="E34" s="25"/>
      <c r="F34" s="25"/>
      <c r="G34" s="25"/>
      <c r="H34" s="25"/>
      <c r="I34" s="25"/>
      <c r="J34" s="25"/>
      <c r="K34" s="25"/>
      <c r="L34" s="25"/>
      <c r="M34" s="25"/>
      <c r="N34" s="25"/>
      <c r="O34" s="25"/>
      <c r="P34" s="25"/>
      <c r="Q34" s="25"/>
      <c r="R34" s="25"/>
      <c r="S34" s="25"/>
    </row>
    <row r="35" spans="1:19" x14ac:dyDescent="0.2">
      <c r="A35" s="25"/>
      <c r="B35" s="25"/>
      <c r="C35" s="25"/>
      <c r="D35" s="25"/>
      <c r="E35" s="25"/>
      <c r="F35" s="25"/>
      <c r="G35" s="25"/>
      <c r="H35" s="25"/>
      <c r="I35" s="25"/>
      <c r="J35" s="25"/>
      <c r="K35" s="25"/>
      <c r="L35" s="25"/>
      <c r="M35" s="25"/>
      <c r="N35" s="25"/>
      <c r="O35" s="25"/>
      <c r="P35" s="25"/>
      <c r="Q35" s="25"/>
      <c r="R35" s="25"/>
      <c r="S35" s="25"/>
    </row>
    <row r="36" spans="1:19" x14ac:dyDescent="0.2">
      <c r="A36" s="25"/>
      <c r="B36" s="25"/>
      <c r="C36" s="25"/>
      <c r="D36" s="25"/>
      <c r="E36" s="25"/>
      <c r="F36" s="25"/>
      <c r="G36" s="25"/>
      <c r="H36" s="25"/>
      <c r="I36" s="25"/>
      <c r="J36" s="25"/>
      <c r="K36" s="25"/>
      <c r="L36" s="25"/>
      <c r="M36" s="25"/>
      <c r="N36" s="25"/>
      <c r="O36" s="25"/>
      <c r="P36" s="25"/>
      <c r="Q36" s="25"/>
      <c r="R36" s="25"/>
      <c r="S36" s="25"/>
    </row>
    <row r="37" spans="1:19" x14ac:dyDescent="0.2">
      <c r="A37" s="25"/>
      <c r="B37" s="25"/>
      <c r="C37" s="25"/>
      <c r="D37" s="25"/>
      <c r="E37" s="25"/>
      <c r="F37" s="25"/>
      <c r="G37" s="25"/>
      <c r="H37" s="25"/>
      <c r="I37" s="25"/>
      <c r="J37" s="25"/>
      <c r="K37" s="25"/>
      <c r="L37" s="25"/>
      <c r="M37" s="25"/>
      <c r="N37" s="25"/>
      <c r="O37" s="25"/>
      <c r="P37" s="25"/>
      <c r="Q37" s="25"/>
      <c r="R37" s="25"/>
      <c r="S37" s="25"/>
    </row>
    <row r="38" spans="1:19" x14ac:dyDescent="0.2">
      <c r="A38" s="25"/>
      <c r="B38" s="25"/>
      <c r="C38" s="25"/>
      <c r="D38" s="25"/>
      <c r="E38" s="25"/>
      <c r="F38" s="25"/>
      <c r="G38" s="25"/>
      <c r="H38" s="25"/>
      <c r="I38" s="25"/>
      <c r="J38" s="25"/>
      <c r="K38" s="25"/>
      <c r="L38" s="25"/>
      <c r="M38" s="25"/>
      <c r="N38" s="25"/>
      <c r="O38" s="25"/>
      <c r="P38" s="25"/>
      <c r="Q38" s="25"/>
      <c r="R38" s="25"/>
      <c r="S38" s="25"/>
    </row>
    <row r="39" spans="1:19" x14ac:dyDescent="0.2">
      <c r="A39" s="25"/>
      <c r="B39" s="25"/>
      <c r="C39" s="25"/>
      <c r="D39" s="25"/>
      <c r="E39" s="25"/>
      <c r="F39" s="25"/>
      <c r="G39" s="25"/>
      <c r="H39" s="25"/>
      <c r="I39" s="25"/>
      <c r="J39" s="25"/>
      <c r="K39" s="25"/>
      <c r="L39" s="25"/>
      <c r="M39" s="25"/>
      <c r="N39" s="25"/>
      <c r="O39" s="25"/>
      <c r="P39" s="25"/>
      <c r="Q39" s="25"/>
      <c r="R39" s="25"/>
      <c r="S39" s="25"/>
    </row>
    <row r="40" spans="1:19" x14ac:dyDescent="0.2">
      <c r="A40" s="25"/>
      <c r="B40" s="25"/>
      <c r="C40" s="25"/>
      <c r="D40" s="25"/>
      <c r="E40" s="25"/>
      <c r="F40" s="25"/>
      <c r="G40" s="25"/>
      <c r="H40" s="25"/>
      <c r="I40" s="25"/>
      <c r="J40" s="25"/>
      <c r="K40" s="25"/>
      <c r="L40" s="25"/>
      <c r="M40" s="25"/>
      <c r="N40" s="25"/>
      <c r="O40" s="25"/>
      <c r="P40" s="25"/>
      <c r="Q40" s="25"/>
      <c r="R40" s="25"/>
      <c r="S40" s="25"/>
    </row>
    <row r="41" spans="1:19" x14ac:dyDescent="0.2">
      <c r="A41" s="25"/>
      <c r="B41" s="25"/>
      <c r="C41" s="25"/>
      <c r="D41" s="25"/>
      <c r="E41" s="25"/>
      <c r="F41" s="25"/>
      <c r="G41" s="25"/>
      <c r="H41" s="25"/>
      <c r="I41" s="25"/>
      <c r="J41" s="25"/>
      <c r="K41" s="25"/>
      <c r="L41" s="25"/>
      <c r="M41" s="25"/>
      <c r="N41" s="25"/>
      <c r="O41" s="25"/>
      <c r="P41" s="25"/>
      <c r="Q41" s="25"/>
      <c r="R41" s="25"/>
      <c r="S41" s="25"/>
    </row>
    <row r="42" spans="1:19" x14ac:dyDescent="0.2">
      <c r="A42" s="25"/>
      <c r="B42" s="25"/>
      <c r="C42" s="25"/>
      <c r="D42" s="25"/>
      <c r="E42" s="25"/>
      <c r="F42" s="25"/>
      <c r="G42" s="25"/>
      <c r="H42" s="25"/>
      <c r="I42" s="25"/>
      <c r="J42" s="25"/>
      <c r="K42" s="25"/>
      <c r="L42" s="25"/>
      <c r="M42" s="25"/>
      <c r="N42" s="25"/>
      <c r="O42" s="25"/>
      <c r="P42" s="25"/>
      <c r="Q42" s="25"/>
      <c r="R42" s="25"/>
      <c r="S42" s="25"/>
    </row>
    <row r="43" spans="1:19" x14ac:dyDescent="0.2">
      <c r="A43" s="25"/>
      <c r="B43" s="25"/>
      <c r="C43" s="25"/>
      <c r="D43" s="25"/>
      <c r="E43" s="25"/>
      <c r="F43" s="25"/>
      <c r="G43" s="25"/>
      <c r="H43" s="25"/>
      <c r="I43" s="25"/>
      <c r="J43" s="25"/>
      <c r="K43" s="25"/>
      <c r="L43" s="25"/>
      <c r="M43" s="25"/>
      <c r="N43" s="25"/>
      <c r="O43" s="25"/>
      <c r="P43" s="25"/>
      <c r="Q43" s="25"/>
      <c r="R43" s="25"/>
      <c r="S43" s="25"/>
    </row>
    <row r="44" spans="1:19" x14ac:dyDescent="0.2">
      <c r="A44" s="25"/>
      <c r="B44" s="25"/>
      <c r="C44" s="25"/>
      <c r="D44" s="25"/>
      <c r="E44" s="25"/>
      <c r="F44" s="25"/>
      <c r="G44" s="25"/>
      <c r="H44" s="25"/>
      <c r="I44" s="25"/>
      <c r="J44" s="25"/>
      <c r="K44" s="25"/>
      <c r="L44" s="25"/>
      <c r="M44" s="25"/>
      <c r="N44" s="25"/>
      <c r="O44" s="25"/>
      <c r="P44" s="25"/>
      <c r="Q44" s="25"/>
      <c r="R44" s="25"/>
      <c r="S44" s="25"/>
    </row>
    <row r="45" spans="1:19" x14ac:dyDescent="0.2">
      <c r="A45" s="25"/>
      <c r="B45" s="25"/>
      <c r="C45" s="25"/>
      <c r="D45" s="25"/>
      <c r="E45" s="25"/>
      <c r="F45" s="25"/>
      <c r="G45" s="25"/>
      <c r="H45" s="25"/>
      <c r="I45" s="25"/>
      <c r="J45" s="25"/>
      <c r="K45" s="25"/>
      <c r="L45" s="25"/>
      <c r="M45" s="25"/>
      <c r="N45" s="25"/>
      <c r="O45" s="25"/>
      <c r="P45" s="25"/>
      <c r="Q45" s="25"/>
      <c r="R45" s="25"/>
      <c r="S45" s="25"/>
    </row>
    <row r="46" spans="1:19" x14ac:dyDescent="0.2">
      <c r="A46" s="25"/>
      <c r="B46" s="25"/>
      <c r="C46" s="25"/>
      <c r="D46" s="25"/>
      <c r="E46" s="25"/>
      <c r="F46" s="25"/>
      <c r="G46" s="25"/>
      <c r="H46" s="25"/>
      <c r="I46" s="25"/>
      <c r="J46" s="25"/>
      <c r="K46" s="25"/>
      <c r="L46" s="25"/>
      <c r="M46" s="25"/>
      <c r="N46" s="25"/>
      <c r="O46" s="25"/>
      <c r="P46" s="25"/>
      <c r="Q46" s="25"/>
      <c r="R46" s="25"/>
      <c r="S46" s="25"/>
    </row>
    <row r="47" spans="1:19" x14ac:dyDescent="0.2">
      <c r="A47" s="25"/>
      <c r="B47" s="25"/>
      <c r="C47" s="25"/>
      <c r="D47" s="25"/>
      <c r="E47" s="25"/>
      <c r="F47" s="25"/>
      <c r="G47" s="25"/>
      <c r="H47" s="25"/>
      <c r="I47" s="25"/>
      <c r="J47" s="25"/>
      <c r="K47" s="25"/>
      <c r="L47" s="25"/>
      <c r="M47" s="25"/>
      <c r="N47" s="25"/>
      <c r="O47" s="25"/>
      <c r="P47" s="25"/>
      <c r="Q47" s="25"/>
      <c r="R47" s="25"/>
      <c r="S47" s="25"/>
    </row>
    <row r="48" spans="1:19" x14ac:dyDescent="0.2">
      <c r="A48" s="25"/>
      <c r="B48" s="25"/>
      <c r="C48" s="25"/>
      <c r="D48" s="25"/>
      <c r="E48" s="25"/>
      <c r="F48" s="25"/>
      <c r="G48" s="25"/>
      <c r="H48" s="25"/>
      <c r="I48" s="25"/>
      <c r="J48" s="25"/>
      <c r="K48" s="25"/>
      <c r="L48" s="25"/>
      <c r="M48" s="25"/>
      <c r="N48" s="25"/>
      <c r="O48" s="25"/>
      <c r="P48" s="25"/>
      <c r="Q48" s="25"/>
      <c r="R48" s="25"/>
      <c r="S48" s="25"/>
    </row>
    <row r="49" spans="1:19" x14ac:dyDescent="0.2">
      <c r="A49" s="25"/>
      <c r="B49" s="25"/>
      <c r="C49" s="25"/>
      <c r="D49" s="25"/>
      <c r="E49" s="25"/>
      <c r="F49" s="25"/>
      <c r="G49" s="25"/>
      <c r="H49" s="25"/>
      <c r="I49" s="25"/>
      <c r="J49" s="25"/>
      <c r="K49" s="25"/>
      <c r="L49" s="25"/>
      <c r="M49" s="25"/>
      <c r="N49" s="25"/>
      <c r="O49" s="25"/>
      <c r="P49" s="25"/>
      <c r="Q49" s="25"/>
      <c r="R49" s="25"/>
      <c r="S49" s="25"/>
    </row>
    <row r="50" spans="1:19" x14ac:dyDescent="0.2">
      <c r="A50" s="25"/>
      <c r="B50" s="25"/>
      <c r="C50" s="25"/>
      <c r="D50" s="25"/>
      <c r="E50" s="25"/>
      <c r="F50" s="25"/>
      <c r="G50" s="25"/>
      <c r="H50" s="25"/>
      <c r="I50" s="25"/>
      <c r="J50" s="25"/>
      <c r="K50" s="25"/>
      <c r="L50" s="25"/>
      <c r="M50" s="25"/>
      <c r="N50" s="25"/>
      <c r="O50" s="25"/>
      <c r="P50" s="25"/>
      <c r="Q50" s="25"/>
      <c r="R50" s="25"/>
      <c r="S50" s="25"/>
    </row>
  </sheetData>
  <sheetProtection password="D809" sheet="1" objects="1" scenarios="1" selectLockedCells="1"/>
  <mergeCells count="9">
    <mergeCell ref="A14:B14"/>
    <mergeCell ref="F2:K2"/>
    <mergeCell ref="A12:B12"/>
    <mergeCell ref="A13:B13"/>
    <mergeCell ref="F3:K3"/>
    <mergeCell ref="B8:D8"/>
    <mergeCell ref="B9:D9"/>
    <mergeCell ref="B10:D10"/>
    <mergeCell ref="F4:K4"/>
  </mergeCells>
  <phoneticPr fontId="15" type="noConversion"/>
  <conditionalFormatting sqref="F4:K4">
    <cfRule type="expression" dxfId="117" priority="1" stopIfTrue="1">
      <formula>(C5&lt;30)</formula>
    </cfRule>
  </conditionalFormatting>
  <conditionalFormatting sqref="B8:D10">
    <cfRule type="expression" dxfId="116" priority="2" stopIfTrue="1">
      <formula>(MASTERSWITCH=1)</formula>
    </cfRule>
  </conditionalFormatting>
  <conditionalFormatting sqref="C3:C6 I20 J11 L15 E12 C12">
    <cfRule type="expression" dxfId="115" priority="3" stopIfTrue="1">
      <formula>(MASTERSWITCH=1)</formula>
    </cfRule>
  </conditionalFormatting>
  <conditionalFormatting sqref="C13:C14">
    <cfRule type="expression" dxfId="114" priority="4" stopIfTrue="1">
      <formula>($C$5&lt;30)</formula>
    </cfRule>
    <cfRule type="expression" dxfId="113" priority="5" stopIfTrue="1">
      <formula>(MASTERSWITCH=1)</formula>
    </cfRule>
  </conditionalFormatting>
  <dataValidations count="2">
    <dataValidation type="decimal" operator="lessThan" allowBlank="1" showInputMessage="1" showErrorMessage="1" error="The hypotenuse (side c) must be greater than either one of the legs of the triangle (a or b)" sqref="C3">
      <formula1>C4</formula1>
    </dataValidation>
    <dataValidation type="decimal" operator="greaterThan" allowBlank="1" showInputMessage="1" showErrorMessage="1" error="The hypotenuse (side c) must be greater than either one of the legs of the triangle (a or b)" sqref="C4">
      <formula1>C3</formula1>
    </dataValidation>
  </dataValidations>
  <printOptions horizontalCentered="1"/>
  <pageMargins left="1" right="0.75" top="1.75" bottom="1.5" header="0.5" footer="0.5"/>
  <pageSetup scale="67" orientation="portrait" horizontalDpi="0" verticalDpi="0" r:id="rId1"/>
  <headerFooter alignWithMargins="0">
    <oddHeader>&amp;L&amp;G&amp;R&amp;G</oddHeader>
    <oddFooter>&amp;L&amp;G&amp;R&amp;D
&amp;T</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S50"/>
  <sheetViews>
    <sheetView showRowColHeaders="0" workbookViewId="0">
      <selection activeCell="C3" sqref="C3"/>
    </sheetView>
  </sheetViews>
  <sheetFormatPr defaultRowHeight="12.75" x14ac:dyDescent="0.2"/>
  <cols>
    <col min="1" max="1" width="14.7109375" customWidth="1"/>
    <col min="3" max="3" width="9.7109375" customWidth="1"/>
    <col min="4" max="4" width="13.5703125" customWidth="1"/>
    <col min="12" max="12" width="6.7109375" customWidth="1"/>
  </cols>
  <sheetData>
    <row r="1" spans="1:19" x14ac:dyDescent="0.2">
      <c r="B1" s="603"/>
      <c r="C1" s="25"/>
      <c r="D1" s="25"/>
      <c r="E1" s="25"/>
      <c r="F1" s="25"/>
      <c r="G1" s="25"/>
      <c r="H1" s="25"/>
      <c r="I1" s="25"/>
      <c r="J1" s="25"/>
      <c r="K1" s="25"/>
      <c r="L1" s="25"/>
      <c r="M1" s="25"/>
      <c r="N1" s="25"/>
      <c r="O1" s="25"/>
      <c r="P1" s="25"/>
      <c r="Q1" s="25"/>
      <c r="R1" s="25"/>
      <c r="S1" s="25"/>
    </row>
    <row r="2" spans="1:19" ht="23.25" x14ac:dyDescent="0.35">
      <c r="A2" s="26"/>
      <c r="B2" s="25"/>
      <c r="C2" s="25"/>
      <c r="D2" s="25"/>
      <c r="E2" s="25"/>
      <c r="F2" s="903" t="s">
        <v>1049</v>
      </c>
      <c r="G2" s="903"/>
      <c r="H2" s="903"/>
      <c r="I2" s="903"/>
      <c r="J2" s="903"/>
      <c r="K2" s="903"/>
      <c r="L2" s="25"/>
      <c r="M2" s="25"/>
      <c r="N2" s="25"/>
      <c r="O2" s="25"/>
      <c r="P2" s="25"/>
      <c r="Q2" s="25"/>
      <c r="R2" s="25"/>
      <c r="S2" s="25"/>
    </row>
    <row r="3" spans="1:19" x14ac:dyDescent="0.2">
      <c r="A3" s="25"/>
      <c r="B3" s="713" t="s">
        <v>1046</v>
      </c>
      <c r="C3" s="714">
        <v>3</v>
      </c>
      <c r="D3" s="25"/>
      <c r="E3" s="25"/>
      <c r="F3" s="904" t="s">
        <v>1457</v>
      </c>
      <c r="G3" s="904"/>
      <c r="H3" s="904"/>
      <c r="I3" s="904"/>
      <c r="J3" s="904"/>
      <c r="K3" s="904"/>
      <c r="L3" s="25"/>
      <c r="M3" s="25"/>
      <c r="N3" s="25"/>
      <c r="O3" s="25"/>
      <c r="P3" s="25"/>
      <c r="Q3" s="25"/>
      <c r="R3" s="25"/>
      <c r="S3" s="25"/>
    </row>
    <row r="4" spans="1:19" ht="14.25" x14ac:dyDescent="0.2">
      <c r="A4" s="25"/>
      <c r="B4" s="713" t="s">
        <v>1050</v>
      </c>
      <c r="C4" s="714">
        <v>5.0999999999999996</v>
      </c>
      <c r="D4" s="25"/>
      <c r="E4" s="25"/>
      <c r="F4" s="905" t="str">
        <f>IF(C5&lt;30,"Angles less than 30° are NOT recommended","")</f>
        <v/>
      </c>
      <c r="G4" s="905"/>
      <c r="H4" s="905"/>
      <c r="I4" s="905"/>
      <c r="J4" s="905"/>
      <c r="K4" s="905"/>
      <c r="L4" s="25"/>
      <c r="M4" s="25"/>
      <c r="N4" s="25"/>
      <c r="O4" s="25"/>
      <c r="P4" s="25"/>
      <c r="Q4" s="25"/>
      <c r="R4" s="25"/>
      <c r="S4" s="25"/>
    </row>
    <row r="5" spans="1:19" x14ac:dyDescent="0.2">
      <c r="A5" s="25"/>
      <c r="B5" s="513" t="s">
        <v>1044</v>
      </c>
      <c r="C5" s="512">
        <f>DEGREES(ATAN2(C6,C3))</f>
        <v>36.031879072470559</v>
      </c>
      <c r="D5" s="25" t="s">
        <v>2108</v>
      </c>
      <c r="E5" s="25"/>
      <c r="F5" s="25"/>
      <c r="G5" s="25"/>
      <c r="H5" s="509"/>
      <c r="I5" s="25"/>
      <c r="J5" s="25"/>
      <c r="K5" s="25"/>
      <c r="L5" s="25"/>
      <c r="M5" s="25"/>
      <c r="N5" s="25"/>
      <c r="O5" s="25"/>
      <c r="P5" s="25"/>
      <c r="Q5" s="25"/>
      <c r="R5" s="25"/>
      <c r="S5" s="25"/>
    </row>
    <row r="6" spans="1:19" x14ac:dyDescent="0.2">
      <c r="A6" s="25"/>
      <c r="B6" s="513" t="s">
        <v>1051</v>
      </c>
      <c r="C6" s="515">
        <f>SQRT(((C4*C4)-(C3*C3)))</f>
        <v>4.1243181254602561</v>
      </c>
      <c r="D6" s="25"/>
      <c r="E6" s="25"/>
      <c r="F6" s="25"/>
      <c r="G6" s="25"/>
      <c r="H6" s="25"/>
      <c r="I6" s="25"/>
      <c r="J6" s="25"/>
      <c r="K6" s="25"/>
      <c r="L6" s="25"/>
      <c r="M6" s="25"/>
      <c r="N6" s="25"/>
      <c r="O6" s="25"/>
      <c r="P6" s="25"/>
      <c r="Q6" s="25"/>
      <c r="R6" s="25"/>
      <c r="S6" s="25"/>
    </row>
    <row r="7" spans="1:19" x14ac:dyDescent="0.2">
      <c r="A7" s="25"/>
      <c r="B7" s="25"/>
      <c r="C7" s="25"/>
      <c r="D7" s="25"/>
      <c r="E7" s="25"/>
      <c r="F7" s="25"/>
      <c r="G7" s="25"/>
      <c r="H7" s="25"/>
      <c r="I7" s="25"/>
      <c r="J7" s="25"/>
      <c r="K7" s="25"/>
      <c r="L7" s="25"/>
      <c r="M7" s="25"/>
      <c r="N7" s="25"/>
      <c r="O7" s="25"/>
      <c r="P7" s="25"/>
      <c r="Q7" s="25"/>
      <c r="R7" s="25"/>
      <c r="S7" s="25"/>
    </row>
    <row r="8" spans="1:19" x14ac:dyDescent="0.2">
      <c r="A8" s="25"/>
      <c r="B8" s="898" t="str">
        <f>IF(MASTERSWITCH=1,"EVALUATION PERIOD EXPIRED!","")</f>
        <v/>
      </c>
      <c r="C8" s="898"/>
      <c r="D8" s="898"/>
      <c r="E8" s="25"/>
      <c r="F8" s="25"/>
      <c r="G8" s="25"/>
      <c r="H8" s="25"/>
      <c r="I8" s="25"/>
      <c r="J8" s="25"/>
      <c r="K8" s="25"/>
      <c r="L8" s="25"/>
      <c r="M8" s="25"/>
      <c r="N8" s="25"/>
      <c r="O8" s="25"/>
      <c r="P8" s="25"/>
      <c r="Q8" s="25"/>
      <c r="R8" s="25"/>
      <c r="S8" s="25"/>
    </row>
    <row r="9" spans="1:19" x14ac:dyDescent="0.2">
      <c r="A9" s="25"/>
      <c r="B9" s="898" t="str">
        <f>IF(MASTERSWITCH=1,"PLEASE PURCHASE LICENSE TO","")</f>
        <v/>
      </c>
      <c r="C9" s="898"/>
      <c r="D9" s="898"/>
      <c r="E9" s="25"/>
      <c r="F9" s="25"/>
      <c r="G9" s="25"/>
      <c r="H9" s="25"/>
      <c r="I9" s="50"/>
      <c r="J9" s="25"/>
      <c r="K9" s="25"/>
      <c r="L9" s="25"/>
      <c r="M9" s="25"/>
      <c r="N9" s="25"/>
      <c r="O9" s="25"/>
      <c r="P9" s="25"/>
      <c r="Q9" s="25"/>
      <c r="R9" s="25"/>
      <c r="S9" s="25"/>
    </row>
    <row r="10" spans="1:19" ht="13.5" thickBot="1" x14ac:dyDescent="0.25">
      <c r="A10" s="25"/>
      <c r="B10" s="898" t="str">
        <f>IF(MASTERSWITCH=1,"CONTINUE USING THIS PROGRAM","")</f>
        <v/>
      </c>
      <c r="C10" s="898"/>
      <c r="D10" s="898"/>
      <c r="E10" s="25"/>
      <c r="F10" s="25"/>
      <c r="G10" s="25"/>
      <c r="H10" s="25"/>
      <c r="I10" s="25"/>
      <c r="J10" s="25"/>
      <c r="K10" s="25"/>
      <c r="L10" s="25"/>
      <c r="M10" s="25"/>
      <c r="N10" s="25"/>
      <c r="O10" s="25"/>
      <c r="P10" s="25"/>
      <c r="Q10" s="25"/>
      <c r="R10" s="25"/>
      <c r="S10" s="25"/>
    </row>
    <row r="11" spans="1:19" ht="16.5" thickBot="1" x14ac:dyDescent="0.3">
      <c r="A11" s="25"/>
      <c r="B11" s="70"/>
      <c r="C11" s="70"/>
      <c r="D11" s="25"/>
      <c r="E11" s="25"/>
      <c r="F11" s="25"/>
      <c r="G11" s="25"/>
      <c r="H11" s="25"/>
      <c r="I11" s="25"/>
      <c r="J11" s="571">
        <f>C4</f>
        <v>5.0999999999999996</v>
      </c>
      <c r="K11" s="25"/>
      <c r="L11" s="25"/>
      <c r="M11" s="25"/>
      <c r="N11" s="25"/>
      <c r="O11" s="25"/>
      <c r="P11" s="25"/>
      <c r="Q11" s="25"/>
      <c r="R11" s="25"/>
      <c r="S11" s="25"/>
    </row>
    <row r="12" spans="1:19" ht="16.5" thickBot="1" x14ac:dyDescent="0.3">
      <c r="A12" s="839" t="s">
        <v>1606</v>
      </c>
      <c r="B12" s="839"/>
      <c r="C12" s="520">
        <v>10000</v>
      </c>
      <c r="D12" s="25"/>
      <c r="E12" s="571">
        <f>C3</f>
        <v>3</v>
      </c>
      <c r="F12" s="25"/>
      <c r="G12" s="25"/>
      <c r="H12" s="25"/>
      <c r="I12" s="25"/>
      <c r="J12" s="25"/>
      <c r="K12" s="25"/>
      <c r="L12" s="25"/>
      <c r="M12" s="25"/>
      <c r="N12" s="25"/>
      <c r="O12" s="25"/>
      <c r="P12" s="25"/>
      <c r="Q12" s="25"/>
      <c r="R12" s="25"/>
      <c r="S12" s="25"/>
    </row>
    <row r="13" spans="1:19" x14ac:dyDescent="0.2">
      <c r="A13" s="839" t="s">
        <v>1056</v>
      </c>
      <c r="B13" s="839"/>
      <c r="C13" s="519">
        <f>(C12/2)*(C4/C3)</f>
        <v>8500</v>
      </c>
      <c r="D13" s="25"/>
      <c r="E13" s="25"/>
      <c r="F13" s="25"/>
      <c r="G13" s="25"/>
      <c r="H13" s="25"/>
      <c r="I13" s="25"/>
      <c r="J13" s="25"/>
      <c r="K13" s="25"/>
      <c r="L13" s="25"/>
      <c r="M13" s="25"/>
      <c r="N13" s="25"/>
      <c r="O13" s="25"/>
      <c r="P13" s="25"/>
      <c r="Q13" s="25"/>
      <c r="R13" s="25"/>
      <c r="S13" s="25"/>
    </row>
    <row r="14" spans="1:19" ht="13.5" thickBot="1" x14ac:dyDescent="0.25">
      <c r="A14" s="839" t="s">
        <v>1057</v>
      </c>
      <c r="B14" s="839"/>
      <c r="C14" s="519">
        <f>C13</f>
        <v>8500</v>
      </c>
      <c r="D14" s="25"/>
      <c r="E14" s="25"/>
      <c r="F14" s="25"/>
      <c r="G14" s="25"/>
      <c r="H14" s="25"/>
      <c r="I14" s="25"/>
      <c r="J14" s="25"/>
      <c r="K14" s="25"/>
      <c r="L14" s="25"/>
      <c r="M14" s="25"/>
      <c r="N14" s="25"/>
      <c r="O14" s="25"/>
      <c r="P14" s="25"/>
      <c r="Q14" s="25"/>
      <c r="R14" s="25"/>
      <c r="S14" s="25"/>
    </row>
    <row r="15" spans="1:19" ht="16.5" customHeight="1" thickBot="1" x14ac:dyDescent="0.3">
      <c r="A15" s="25"/>
      <c r="B15" s="369"/>
      <c r="C15" s="70"/>
      <c r="D15" s="25"/>
      <c r="E15" s="25"/>
      <c r="F15" s="25"/>
      <c r="G15" s="25"/>
      <c r="H15" s="25"/>
      <c r="I15" s="25"/>
      <c r="J15" s="25"/>
      <c r="K15" s="25"/>
      <c r="L15" s="511">
        <f>C5</f>
        <v>36.031879072470559</v>
      </c>
      <c r="M15" s="440" t="s">
        <v>2108</v>
      </c>
      <c r="N15" s="25"/>
      <c r="O15" s="25"/>
      <c r="P15" s="25"/>
      <c r="Q15" s="25"/>
      <c r="R15" s="25"/>
      <c r="S15" s="25"/>
    </row>
    <row r="16" spans="1:19" x14ac:dyDescent="0.2">
      <c r="A16" s="25"/>
      <c r="B16" s="25"/>
      <c r="C16" s="25"/>
      <c r="D16" s="25"/>
      <c r="E16" s="25"/>
      <c r="F16" s="25"/>
      <c r="G16" s="25"/>
      <c r="H16" s="25"/>
      <c r="I16" s="25"/>
      <c r="J16" s="25"/>
      <c r="K16" s="25"/>
      <c r="L16" s="25"/>
      <c r="M16" s="25"/>
      <c r="N16" s="25"/>
      <c r="O16" s="25"/>
      <c r="P16" s="25"/>
      <c r="Q16" s="25"/>
      <c r="R16" s="25"/>
      <c r="S16" s="25"/>
    </row>
    <row r="17" spans="1:19" x14ac:dyDescent="0.2">
      <c r="A17" s="25"/>
      <c r="B17" s="25"/>
      <c r="C17" s="25"/>
      <c r="D17" s="25"/>
      <c r="E17" s="25"/>
      <c r="F17" s="25"/>
      <c r="G17" s="25"/>
      <c r="H17" s="25"/>
      <c r="I17" s="25"/>
      <c r="J17" s="25"/>
      <c r="K17" s="25"/>
      <c r="L17" s="25"/>
      <c r="M17" s="25"/>
      <c r="N17" s="25"/>
      <c r="O17" s="25"/>
      <c r="P17" s="25"/>
      <c r="Q17" s="25"/>
      <c r="R17" s="25"/>
      <c r="S17" s="25"/>
    </row>
    <row r="18" spans="1:19" ht="13.5" customHeight="1" x14ac:dyDescent="0.2">
      <c r="A18" s="25"/>
      <c r="B18" s="25"/>
      <c r="C18" s="25"/>
      <c r="D18" s="25"/>
      <c r="E18" s="25"/>
      <c r="F18" s="25"/>
      <c r="G18" s="25"/>
      <c r="H18" s="25"/>
      <c r="I18" s="25"/>
      <c r="J18" s="25"/>
      <c r="K18" s="25"/>
      <c r="L18" s="25"/>
      <c r="M18" s="25"/>
      <c r="N18" s="25"/>
      <c r="O18" s="25"/>
      <c r="P18" s="25"/>
      <c r="Q18" s="25"/>
      <c r="R18" s="25"/>
      <c r="S18" s="25"/>
    </row>
    <row r="19" spans="1:19" ht="13.5" thickBot="1" x14ac:dyDescent="0.25">
      <c r="A19" s="25"/>
      <c r="B19" s="70"/>
      <c r="C19" s="70"/>
      <c r="D19" s="25"/>
      <c r="E19" s="25"/>
      <c r="F19" s="25"/>
      <c r="G19" s="25"/>
      <c r="H19" s="25"/>
      <c r="I19" s="25"/>
      <c r="J19" s="25"/>
      <c r="K19" s="25"/>
      <c r="L19" s="25"/>
      <c r="M19" s="25"/>
      <c r="N19" s="25"/>
      <c r="O19" s="25"/>
      <c r="P19" s="25"/>
      <c r="Q19" s="25"/>
      <c r="R19" s="25"/>
      <c r="S19" s="25"/>
    </row>
    <row r="20" spans="1:19" ht="16.5" thickBot="1" x14ac:dyDescent="0.3">
      <c r="A20" s="25"/>
      <c r="B20" s="70"/>
      <c r="C20" s="70"/>
      <c r="D20" s="25"/>
      <c r="E20" s="25"/>
      <c r="F20" s="25"/>
      <c r="G20" s="25"/>
      <c r="H20" s="25"/>
      <c r="I20" s="510">
        <f>C6</f>
        <v>4.1243181254602561</v>
      </c>
      <c r="J20" s="25"/>
      <c r="K20" s="25"/>
      <c r="L20" s="25"/>
      <c r="M20" s="25"/>
      <c r="N20" s="25"/>
      <c r="O20" s="25"/>
      <c r="P20" s="25"/>
      <c r="Q20" s="25"/>
      <c r="R20" s="25"/>
      <c r="S20" s="25"/>
    </row>
    <row r="21" spans="1:19" x14ac:dyDescent="0.2">
      <c r="A21" s="25"/>
      <c r="B21" s="70"/>
      <c r="C21" s="70"/>
      <c r="D21" s="25"/>
      <c r="E21" s="25"/>
      <c r="F21" s="25"/>
      <c r="G21" s="25"/>
      <c r="H21" s="25"/>
      <c r="I21" s="25"/>
      <c r="J21" s="25"/>
      <c r="K21" s="25"/>
      <c r="L21" s="25"/>
      <c r="M21" s="25"/>
      <c r="N21" s="25"/>
      <c r="O21" s="25"/>
      <c r="P21" s="25"/>
      <c r="Q21" s="25"/>
      <c r="R21" s="25"/>
      <c r="S21" s="25"/>
    </row>
    <row r="22" spans="1:19" x14ac:dyDescent="0.2">
      <c r="A22" s="25"/>
      <c r="B22" s="70"/>
      <c r="C22" s="70"/>
      <c r="D22" s="25"/>
      <c r="E22" s="25"/>
      <c r="G22" s="25"/>
      <c r="H22" s="25"/>
      <c r="I22" s="25"/>
      <c r="J22" s="25"/>
      <c r="L22" s="25"/>
      <c r="M22" s="25"/>
      <c r="N22" s="25"/>
      <c r="O22" s="25"/>
      <c r="P22" s="25"/>
      <c r="Q22" s="25"/>
      <c r="R22" s="25"/>
      <c r="S22" s="25"/>
    </row>
    <row r="23" spans="1:19" x14ac:dyDescent="0.2">
      <c r="A23" s="25"/>
      <c r="B23" s="70"/>
      <c r="C23" s="70"/>
      <c r="D23" s="25"/>
      <c r="E23" s="25"/>
      <c r="F23" s="25"/>
      <c r="G23" s="25"/>
      <c r="H23" s="25"/>
      <c r="I23" s="25"/>
      <c r="J23" s="25"/>
      <c r="K23" s="25"/>
      <c r="L23" s="25"/>
      <c r="M23" s="25"/>
      <c r="N23" s="25"/>
      <c r="O23" s="25"/>
      <c r="P23" s="25"/>
      <c r="Q23" s="25"/>
      <c r="R23" s="25"/>
      <c r="S23" s="25"/>
    </row>
    <row r="24" spans="1:19" x14ac:dyDescent="0.2">
      <c r="A24" s="25"/>
      <c r="B24" s="369"/>
      <c r="C24" s="255"/>
      <c r="D24" s="25"/>
      <c r="E24" s="25"/>
      <c r="F24" s="25"/>
      <c r="G24" s="25"/>
      <c r="H24" s="25"/>
      <c r="I24" s="25"/>
      <c r="J24" s="25"/>
      <c r="K24" s="25"/>
      <c r="L24" s="25"/>
      <c r="M24" s="25"/>
      <c r="N24" s="25"/>
      <c r="O24" s="25"/>
      <c r="P24" s="25"/>
      <c r="Q24" s="25"/>
      <c r="R24" s="25"/>
      <c r="S24" s="25"/>
    </row>
    <row r="25" spans="1:19" x14ac:dyDescent="0.2">
      <c r="A25" s="25"/>
      <c r="B25" s="369"/>
      <c r="C25" s="255"/>
      <c r="D25" s="25"/>
      <c r="E25" s="25"/>
      <c r="F25" s="25"/>
      <c r="G25" s="25"/>
      <c r="H25" s="25"/>
      <c r="I25" s="25"/>
      <c r="J25" s="25"/>
      <c r="K25" s="25"/>
      <c r="L25" s="25"/>
      <c r="M25" s="25"/>
      <c r="N25" s="25"/>
      <c r="O25" s="25"/>
      <c r="P25" s="25"/>
      <c r="Q25" s="25"/>
      <c r="R25" s="25"/>
      <c r="S25" s="25"/>
    </row>
    <row r="26" spans="1:19" x14ac:dyDescent="0.2">
      <c r="A26" s="25"/>
      <c r="B26" s="369"/>
      <c r="C26" s="516"/>
      <c r="D26" s="25"/>
      <c r="E26" s="25"/>
      <c r="F26" s="25"/>
      <c r="G26" s="25"/>
      <c r="H26" s="25"/>
      <c r="I26" s="25"/>
      <c r="J26" s="25"/>
      <c r="K26" s="25"/>
      <c r="L26" s="25"/>
      <c r="M26" s="25"/>
      <c r="N26" s="25"/>
      <c r="O26" s="25"/>
      <c r="P26" s="25"/>
      <c r="Q26" s="25"/>
      <c r="R26" s="25"/>
      <c r="S26" s="25"/>
    </row>
    <row r="27" spans="1:19" x14ac:dyDescent="0.2">
      <c r="A27" s="25"/>
      <c r="B27" s="369"/>
      <c r="C27" s="517"/>
      <c r="D27" s="25"/>
      <c r="E27" s="25"/>
      <c r="F27" s="25"/>
      <c r="G27" s="25"/>
      <c r="H27" s="25"/>
      <c r="I27" s="25"/>
      <c r="J27" s="25"/>
      <c r="K27" s="25"/>
      <c r="L27" s="25"/>
      <c r="M27" s="25"/>
      <c r="N27" s="25"/>
      <c r="O27" s="25"/>
      <c r="P27" s="25"/>
      <c r="Q27" s="25"/>
      <c r="R27" s="25"/>
      <c r="S27" s="25"/>
    </row>
    <row r="28" spans="1:19" x14ac:dyDescent="0.2">
      <c r="A28" s="25"/>
      <c r="B28" s="70"/>
      <c r="C28" s="70"/>
      <c r="D28" s="25"/>
      <c r="E28" s="25"/>
      <c r="F28" s="25"/>
      <c r="G28" s="25"/>
      <c r="H28" s="25"/>
      <c r="I28" s="25"/>
      <c r="J28" s="25"/>
      <c r="K28" s="25"/>
      <c r="L28" s="25"/>
      <c r="M28" s="25"/>
      <c r="N28" s="25"/>
      <c r="O28" s="25"/>
      <c r="P28" s="25"/>
      <c r="Q28" s="25"/>
      <c r="R28" s="25"/>
      <c r="S28" s="25"/>
    </row>
    <row r="29" spans="1:19" x14ac:dyDescent="0.2">
      <c r="A29" s="633"/>
      <c r="B29" s="70"/>
      <c r="C29" s="70"/>
      <c r="D29" s="25"/>
      <c r="E29" s="25"/>
      <c r="F29" s="25"/>
      <c r="G29" s="25"/>
      <c r="H29" s="25"/>
      <c r="I29" s="25"/>
      <c r="J29" s="25"/>
      <c r="K29" s="25"/>
      <c r="L29" s="25"/>
      <c r="M29" s="25"/>
      <c r="N29" s="25"/>
      <c r="O29" s="25"/>
      <c r="P29" s="25"/>
      <c r="Q29" s="25"/>
      <c r="R29" s="25"/>
      <c r="S29" s="25"/>
    </row>
    <row r="30" spans="1:19" x14ac:dyDescent="0.2">
      <c r="A30" s="25"/>
      <c r="B30" s="70"/>
      <c r="C30" s="70"/>
      <c r="D30" s="25"/>
      <c r="E30" s="25"/>
      <c r="F30" s="25"/>
      <c r="G30" s="25"/>
      <c r="H30" s="25"/>
      <c r="I30" s="25"/>
      <c r="J30" s="25"/>
      <c r="K30" s="25"/>
      <c r="L30" s="25"/>
      <c r="M30" s="25"/>
      <c r="N30" s="25"/>
      <c r="O30" s="25"/>
      <c r="P30" s="25"/>
      <c r="Q30" s="25"/>
      <c r="R30" s="25"/>
      <c r="S30" s="25"/>
    </row>
    <row r="31" spans="1:19" x14ac:dyDescent="0.2">
      <c r="A31" s="25"/>
      <c r="B31" s="70"/>
      <c r="C31" s="70"/>
      <c r="D31" s="25"/>
      <c r="E31" s="25"/>
      <c r="F31" s="25"/>
      <c r="G31" s="25"/>
      <c r="H31" s="25"/>
      <c r="I31" s="25"/>
      <c r="J31" s="25"/>
      <c r="K31" s="25"/>
      <c r="L31" s="25"/>
      <c r="M31" s="25"/>
      <c r="N31" s="25"/>
      <c r="O31" s="25"/>
      <c r="P31" s="25"/>
      <c r="Q31" s="25"/>
      <c r="R31" s="25"/>
      <c r="S31" s="25"/>
    </row>
    <row r="32" spans="1:19" x14ac:dyDescent="0.2">
      <c r="A32" s="25"/>
      <c r="B32" s="25"/>
      <c r="C32" s="25"/>
      <c r="D32" s="25"/>
      <c r="E32" s="25"/>
      <c r="F32" s="25"/>
      <c r="G32" s="25"/>
      <c r="H32" s="25"/>
      <c r="I32" s="25"/>
      <c r="J32" s="25"/>
      <c r="K32" s="25"/>
      <c r="L32" s="25"/>
      <c r="M32" s="25"/>
      <c r="N32" s="25"/>
      <c r="O32" s="25"/>
      <c r="P32" s="25"/>
      <c r="Q32" s="25"/>
      <c r="R32" s="25"/>
      <c r="S32" s="25"/>
    </row>
    <row r="33" spans="1:19" x14ac:dyDescent="0.2">
      <c r="A33" s="25"/>
      <c r="B33" s="25"/>
      <c r="C33" s="25"/>
      <c r="D33" s="25"/>
      <c r="E33" s="25"/>
      <c r="F33" s="25"/>
      <c r="G33" s="25"/>
      <c r="H33" s="25"/>
      <c r="I33" s="25"/>
      <c r="J33" s="25"/>
      <c r="K33" s="25"/>
      <c r="L33" s="25"/>
      <c r="M33" s="25"/>
      <c r="N33" s="25"/>
      <c r="O33" s="25"/>
      <c r="P33" s="25"/>
      <c r="Q33" s="25"/>
      <c r="R33" s="25"/>
      <c r="S33" s="25"/>
    </row>
    <row r="34" spans="1:19" x14ac:dyDescent="0.2">
      <c r="A34" s="25"/>
      <c r="B34" s="25"/>
      <c r="C34" s="25"/>
      <c r="D34" s="25"/>
      <c r="E34" s="25"/>
      <c r="F34" s="25"/>
      <c r="G34" s="25"/>
      <c r="H34" s="25"/>
      <c r="I34" s="25"/>
      <c r="J34" s="25"/>
      <c r="K34" s="25"/>
      <c r="L34" s="25"/>
      <c r="M34" s="25"/>
      <c r="N34" s="25"/>
      <c r="O34" s="25"/>
      <c r="P34" s="25"/>
      <c r="Q34" s="25"/>
      <c r="R34" s="25"/>
      <c r="S34" s="25"/>
    </row>
    <row r="35" spans="1:19" x14ac:dyDescent="0.2">
      <c r="A35" s="25"/>
      <c r="B35" s="25"/>
      <c r="C35" s="25"/>
      <c r="D35" s="25"/>
      <c r="E35" s="25"/>
      <c r="F35" s="25"/>
      <c r="G35" s="25"/>
      <c r="H35" s="25"/>
      <c r="I35" s="25"/>
      <c r="J35" s="25"/>
      <c r="K35" s="25"/>
      <c r="L35" s="25"/>
      <c r="M35" s="25"/>
      <c r="N35" s="25"/>
      <c r="O35" s="25"/>
      <c r="P35" s="25"/>
      <c r="Q35" s="25"/>
      <c r="R35" s="25"/>
      <c r="S35" s="25"/>
    </row>
    <row r="36" spans="1:19" x14ac:dyDescent="0.2">
      <c r="A36" s="25"/>
      <c r="B36" s="25"/>
      <c r="C36" s="25"/>
      <c r="D36" s="25"/>
      <c r="E36" s="25"/>
      <c r="F36" s="25"/>
      <c r="G36" s="25"/>
      <c r="H36" s="25"/>
      <c r="I36" s="25"/>
      <c r="J36" s="25"/>
      <c r="K36" s="25"/>
      <c r="L36" s="25"/>
      <c r="M36" s="25"/>
      <c r="N36" s="25"/>
      <c r="O36" s="25"/>
      <c r="P36" s="25"/>
      <c r="Q36" s="25"/>
      <c r="R36" s="25"/>
      <c r="S36" s="25"/>
    </row>
    <row r="37" spans="1:19" x14ac:dyDescent="0.2">
      <c r="A37" s="25"/>
      <c r="B37" s="25"/>
      <c r="C37" s="25"/>
      <c r="D37" s="25"/>
      <c r="E37" s="25"/>
      <c r="F37" s="25"/>
      <c r="G37" s="25"/>
      <c r="H37" s="25"/>
      <c r="I37" s="25"/>
      <c r="J37" s="25"/>
      <c r="K37" s="25"/>
      <c r="L37" s="25"/>
      <c r="M37" s="25"/>
      <c r="N37" s="25"/>
      <c r="O37" s="25"/>
      <c r="P37" s="25"/>
      <c r="Q37" s="25"/>
      <c r="R37" s="25"/>
      <c r="S37" s="25"/>
    </row>
    <row r="38" spans="1:19" x14ac:dyDescent="0.2">
      <c r="A38" s="25"/>
      <c r="B38" s="25"/>
      <c r="C38" s="25"/>
      <c r="D38" s="25"/>
      <c r="E38" s="25"/>
      <c r="F38" s="25"/>
      <c r="G38" s="25"/>
      <c r="H38" s="25"/>
      <c r="I38" s="25"/>
      <c r="J38" s="25"/>
      <c r="K38" s="25"/>
      <c r="L38" s="25"/>
      <c r="M38" s="25"/>
      <c r="N38" s="25"/>
      <c r="O38" s="25"/>
      <c r="P38" s="25"/>
      <c r="Q38" s="25"/>
      <c r="R38" s="25"/>
      <c r="S38" s="25"/>
    </row>
    <row r="39" spans="1:19" x14ac:dyDescent="0.2">
      <c r="A39" s="25"/>
      <c r="B39" s="25"/>
      <c r="C39" s="25"/>
      <c r="D39" s="25"/>
      <c r="E39" s="25"/>
      <c r="F39" s="25"/>
      <c r="G39" s="25"/>
      <c r="H39" s="25"/>
      <c r="I39" s="25"/>
      <c r="J39" s="25"/>
      <c r="K39" s="25"/>
      <c r="L39" s="25"/>
      <c r="M39" s="25"/>
      <c r="N39" s="25"/>
      <c r="O39" s="25"/>
      <c r="P39" s="25"/>
      <c r="Q39" s="25"/>
      <c r="R39" s="25"/>
      <c r="S39" s="25"/>
    </row>
    <row r="40" spans="1:19" x14ac:dyDescent="0.2">
      <c r="A40" s="25"/>
      <c r="B40" s="25"/>
      <c r="C40" s="25"/>
      <c r="D40" s="25"/>
      <c r="E40" s="25"/>
      <c r="F40" s="25"/>
      <c r="G40" s="25"/>
      <c r="H40" s="25"/>
      <c r="I40" s="25"/>
      <c r="J40" s="25"/>
      <c r="K40" s="25"/>
      <c r="L40" s="25"/>
      <c r="M40" s="25"/>
      <c r="N40" s="25"/>
      <c r="O40" s="25"/>
      <c r="P40" s="25"/>
      <c r="Q40" s="25"/>
      <c r="R40" s="25"/>
      <c r="S40" s="25"/>
    </row>
    <row r="41" spans="1:19" x14ac:dyDescent="0.2">
      <c r="A41" s="25"/>
      <c r="B41" s="25"/>
      <c r="C41" s="25"/>
      <c r="D41" s="25"/>
      <c r="E41" s="25"/>
      <c r="F41" s="25"/>
      <c r="G41" s="25"/>
      <c r="H41" s="25"/>
      <c r="I41" s="25"/>
      <c r="J41" s="25"/>
      <c r="K41" s="25"/>
      <c r="L41" s="25"/>
      <c r="M41" s="25"/>
      <c r="N41" s="25"/>
      <c r="O41" s="25"/>
      <c r="P41" s="25"/>
      <c r="Q41" s="25"/>
      <c r="R41" s="25"/>
      <c r="S41" s="25"/>
    </row>
    <row r="42" spans="1:19" x14ac:dyDescent="0.2">
      <c r="A42" s="25"/>
      <c r="B42" s="25"/>
      <c r="C42" s="25"/>
      <c r="D42" s="25"/>
      <c r="E42" s="25"/>
      <c r="F42" s="25"/>
      <c r="G42" s="25"/>
      <c r="H42" s="25"/>
      <c r="I42" s="25"/>
      <c r="J42" s="25"/>
      <c r="K42" s="25"/>
      <c r="L42" s="25"/>
      <c r="M42" s="25"/>
      <c r="N42" s="25"/>
      <c r="O42" s="25"/>
      <c r="P42" s="25"/>
      <c r="Q42" s="25"/>
      <c r="R42" s="25"/>
      <c r="S42" s="25"/>
    </row>
    <row r="43" spans="1:19" x14ac:dyDescent="0.2">
      <c r="A43" s="25"/>
      <c r="B43" s="25"/>
      <c r="C43" s="25"/>
      <c r="D43" s="25"/>
      <c r="E43" s="25"/>
      <c r="F43" s="25"/>
      <c r="G43" s="25"/>
      <c r="H43" s="25"/>
      <c r="I43" s="25"/>
      <c r="J43" s="25"/>
      <c r="K43" s="25"/>
      <c r="L43" s="25"/>
      <c r="M43" s="25"/>
      <c r="N43" s="25"/>
      <c r="O43" s="25"/>
      <c r="P43" s="25"/>
      <c r="Q43" s="25"/>
      <c r="R43" s="25"/>
      <c r="S43" s="25"/>
    </row>
    <row r="44" spans="1:19" x14ac:dyDescent="0.2">
      <c r="A44" s="25"/>
      <c r="B44" s="25"/>
      <c r="C44" s="25"/>
      <c r="D44" s="25"/>
      <c r="E44" s="25"/>
      <c r="F44" s="25"/>
      <c r="G44" s="25"/>
      <c r="H44" s="25"/>
      <c r="I44" s="25"/>
      <c r="J44" s="25"/>
      <c r="K44" s="25"/>
      <c r="L44" s="25"/>
      <c r="M44" s="25"/>
      <c r="N44" s="25"/>
      <c r="O44" s="25"/>
      <c r="P44" s="25"/>
      <c r="Q44" s="25"/>
      <c r="R44" s="25"/>
      <c r="S44" s="25"/>
    </row>
    <row r="45" spans="1:19" x14ac:dyDescent="0.2">
      <c r="A45" s="25"/>
      <c r="B45" s="25"/>
      <c r="C45" s="25"/>
      <c r="D45" s="25"/>
      <c r="E45" s="25"/>
      <c r="F45" s="25"/>
      <c r="G45" s="25"/>
      <c r="H45" s="25"/>
      <c r="I45" s="25"/>
      <c r="J45" s="25"/>
      <c r="K45" s="25"/>
      <c r="L45" s="25"/>
      <c r="M45" s="25"/>
      <c r="N45" s="25"/>
      <c r="O45" s="25"/>
      <c r="P45" s="25"/>
      <c r="Q45" s="25"/>
      <c r="R45" s="25"/>
      <c r="S45" s="25"/>
    </row>
    <row r="46" spans="1:19" x14ac:dyDescent="0.2">
      <c r="A46" s="25"/>
      <c r="B46" s="25"/>
      <c r="C46" s="25"/>
      <c r="D46" s="25"/>
      <c r="E46" s="25"/>
      <c r="F46" s="25"/>
      <c r="G46" s="25"/>
      <c r="H46" s="25"/>
      <c r="I46" s="25"/>
      <c r="J46" s="25"/>
      <c r="K46" s="25"/>
      <c r="L46" s="25"/>
      <c r="M46" s="25"/>
      <c r="N46" s="25"/>
      <c r="O46" s="25"/>
      <c r="P46" s="25"/>
      <c r="Q46" s="25"/>
      <c r="R46" s="25"/>
      <c r="S46" s="25"/>
    </row>
    <row r="47" spans="1:19" x14ac:dyDescent="0.2">
      <c r="A47" s="25"/>
      <c r="B47" s="25"/>
      <c r="C47" s="25"/>
      <c r="D47" s="25"/>
      <c r="E47" s="25"/>
      <c r="F47" s="25"/>
      <c r="G47" s="25"/>
      <c r="H47" s="25"/>
      <c r="I47" s="25"/>
      <c r="J47" s="25"/>
      <c r="K47" s="25"/>
      <c r="L47" s="25"/>
      <c r="M47" s="25"/>
      <c r="N47" s="25"/>
      <c r="O47" s="25"/>
      <c r="P47" s="25"/>
      <c r="Q47" s="25"/>
      <c r="R47" s="25"/>
      <c r="S47" s="25"/>
    </row>
    <row r="48" spans="1:19" x14ac:dyDescent="0.2">
      <c r="A48" s="25"/>
      <c r="B48" s="25"/>
      <c r="C48" s="25"/>
      <c r="D48" s="25"/>
      <c r="E48" s="25"/>
      <c r="F48" s="25"/>
      <c r="G48" s="25"/>
      <c r="H48" s="25"/>
      <c r="I48" s="25"/>
      <c r="J48" s="25"/>
      <c r="K48" s="25"/>
      <c r="L48" s="25"/>
      <c r="M48" s="25"/>
      <c r="N48" s="25"/>
      <c r="O48" s="25"/>
      <c r="P48" s="25"/>
      <c r="Q48" s="25"/>
      <c r="R48" s="25"/>
      <c r="S48" s="25"/>
    </row>
    <row r="49" spans="1:19" x14ac:dyDescent="0.2">
      <c r="A49" s="25"/>
      <c r="B49" s="25"/>
      <c r="C49" s="25"/>
      <c r="D49" s="25"/>
      <c r="E49" s="25"/>
      <c r="F49" s="25"/>
      <c r="G49" s="25"/>
      <c r="H49" s="25"/>
      <c r="I49" s="25"/>
      <c r="J49" s="25"/>
      <c r="K49" s="25"/>
      <c r="L49" s="25"/>
      <c r="M49" s="25"/>
      <c r="N49" s="25"/>
      <c r="O49" s="25"/>
      <c r="P49" s="25"/>
      <c r="Q49" s="25"/>
      <c r="R49" s="25"/>
      <c r="S49" s="25"/>
    </row>
    <row r="50" spans="1:19" x14ac:dyDescent="0.2">
      <c r="A50" s="25"/>
      <c r="B50" s="25"/>
      <c r="C50" s="25"/>
      <c r="D50" s="25"/>
      <c r="E50" s="25"/>
      <c r="F50" s="25"/>
      <c r="G50" s="25"/>
      <c r="H50" s="25"/>
      <c r="I50" s="25"/>
      <c r="J50" s="25"/>
      <c r="K50" s="25"/>
      <c r="L50" s="25"/>
      <c r="M50" s="25"/>
      <c r="N50" s="25"/>
      <c r="O50" s="25"/>
      <c r="P50" s="25"/>
      <c r="Q50" s="25"/>
      <c r="R50" s="25"/>
      <c r="S50" s="25"/>
    </row>
  </sheetData>
  <sheetProtection password="D809" sheet="1" objects="1" scenarios="1" selectLockedCells="1"/>
  <mergeCells count="9">
    <mergeCell ref="F4:K4"/>
    <mergeCell ref="A14:B14"/>
    <mergeCell ref="F2:K2"/>
    <mergeCell ref="A12:B12"/>
    <mergeCell ref="A13:B13"/>
    <mergeCell ref="F3:K3"/>
    <mergeCell ref="B8:D8"/>
    <mergeCell ref="B9:D9"/>
    <mergeCell ref="B10:D10"/>
  </mergeCells>
  <phoneticPr fontId="15" type="noConversion"/>
  <conditionalFormatting sqref="F4:K4">
    <cfRule type="expression" dxfId="112" priority="1" stopIfTrue="1">
      <formula>(C5&lt;30)</formula>
    </cfRule>
  </conditionalFormatting>
  <conditionalFormatting sqref="B8:D10">
    <cfRule type="expression" dxfId="111" priority="2" stopIfTrue="1">
      <formula>(MASTERSWITCH=1)</formula>
    </cfRule>
  </conditionalFormatting>
  <conditionalFormatting sqref="C3:C6 C12 E12 J11 L15:M15 I20">
    <cfRule type="expression" dxfId="110" priority="3" stopIfTrue="1">
      <formula>(MASTERSWITCH=1)</formula>
    </cfRule>
  </conditionalFormatting>
  <conditionalFormatting sqref="C13:C14">
    <cfRule type="expression" dxfId="109" priority="4" stopIfTrue="1">
      <formula>($C$5&lt;30)</formula>
    </cfRule>
    <cfRule type="expression" dxfId="108" priority="5" stopIfTrue="1">
      <formula>(MASTERSWITCH=1)</formula>
    </cfRule>
  </conditionalFormatting>
  <dataValidations count="2">
    <dataValidation type="decimal" operator="lessThan" allowBlank="1" showInputMessage="1" showErrorMessage="1" error="The hypotenuse (side c) must be greater than either one of the legs of the triangle (a or b)" sqref="C3">
      <formula1>C4</formula1>
    </dataValidation>
    <dataValidation type="decimal" operator="greaterThan" allowBlank="1" showInputMessage="1" showErrorMessage="1" error="The hypotenuse (side c) must be greater than either one of the legs of the triangle (a or b)" sqref="C4">
      <formula1>C3</formula1>
    </dataValidation>
  </dataValidations>
  <pageMargins left="0.75" right="0.75" top="1.75" bottom="1.5" header="0.5" footer="0.5"/>
  <pageSetup scale="71" orientation="portrait" horizontalDpi="0" verticalDpi="0" r:id="rId1"/>
  <headerFooter alignWithMargins="0">
    <oddHeader>&amp;L&amp;G&amp;R&amp;G</oddHeader>
    <oddFooter>&amp;L&amp;G&amp;R&amp;D
&amp;T</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S50"/>
  <sheetViews>
    <sheetView showRowColHeaders="0" workbookViewId="0">
      <selection activeCell="C4" sqref="C4"/>
    </sheetView>
  </sheetViews>
  <sheetFormatPr defaultRowHeight="12.75" x14ac:dyDescent="0.2"/>
  <cols>
    <col min="1" max="1" width="14.7109375" customWidth="1"/>
    <col min="3" max="3" width="9.7109375" customWidth="1"/>
    <col min="4" max="4" width="13.5703125" customWidth="1"/>
    <col min="12" max="12" width="6.7109375" customWidth="1"/>
  </cols>
  <sheetData>
    <row r="1" spans="1:19" x14ac:dyDescent="0.2">
      <c r="B1" s="603"/>
      <c r="C1" s="25"/>
      <c r="D1" s="25"/>
      <c r="E1" s="25"/>
      <c r="F1" s="25"/>
      <c r="G1" s="25"/>
      <c r="H1" s="25"/>
      <c r="I1" s="25"/>
      <c r="J1" s="25"/>
      <c r="K1" s="25"/>
      <c r="L1" s="25"/>
      <c r="M1" s="25"/>
      <c r="N1" s="25"/>
      <c r="O1" s="25"/>
      <c r="P1" s="25"/>
      <c r="Q1" s="25"/>
      <c r="R1" s="25"/>
      <c r="S1" s="25"/>
    </row>
    <row r="2" spans="1:19" ht="23.25" x14ac:dyDescent="0.35">
      <c r="A2" s="26"/>
      <c r="B2" s="602"/>
      <c r="C2" s="25"/>
      <c r="D2" s="25"/>
      <c r="E2" s="25"/>
      <c r="F2" s="903" t="s">
        <v>1047</v>
      </c>
      <c r="G2" s="903"/>
      <c r="H2" s="903"/>
      <c r="I2" s="903"/>
      <c r="J2" s="903"/>
      <c r="K2" s="903"/>
      <c r="L2" s="25"/>
      <c r="M2" s="25"/>
      <c r="N2" s="25"/>
      <c r="O2" s="25"/>
      <c r="P2" s="25"/>
      <c r="Q2" s="25"/>
      <c r="R2" s="25"/>
      <c r="S2" s="25"/>
    </row>
    <row r="3" spans="1:19" x14ac:dyDescent="0.2">
      <c r="A3" s="25"/>
      <c r="B3" s="507" t="s">
        <v>1045</v>
      </c>
      <c r="C3" s="714">
        <v>2</v>
      </c>
      <c r="D3" s="25"/>
      <c r="E3" s="25"/>
      <c r="F3" s="906" t="s">
        <v>1459</v>
      </c>
      <c r="G3" s="906"/>
      <c r="H3" s="906"/>
      <c r="I3" s="906"/>
      <c r="J3" s="906"/>
      <c r="K3" s="906"/>
      <c r="L3" s="25"/>
      <c r="M3" s="25"/>
      <c r="N3" s="25"/>
      <c r="O3" s="25"/>
      <c r="P3" s="25"/>
      <c r="Q3" s="25"/>
      <c r="R3" s="25"/>
      <c r="S3" s="25"/>
    </row>
    <row r="4" spans="1:19" ht="14.25" x14ac:dyDescent="0.2">
      <c r="A4" s="25"/>
      <c r="B4" s="508" t="s">
        <v>1046</v>
      </c>
      <c r="C4" s="714">
        <v>3.3</v>
      </c>
      <c r="D4" s="25"/>
      <c r="E4" s="25"/>
      <c r="F4" s="905" t="str">
        <f>IF(C5&lt;30,"Angles less than 30° are NOT recommended","")</f>
        <v/>
      </c>
      <c r="G4" s="905"/>
      <c r="H4" s="905"/>
      <c r="I4" s="905"/>
      <c r="J4" s="905"/>
      <c r="K4" s="905"/>
      <c r="L4" s="25"/>
      <c r="M4" s="25"/>
      <c r="N4" s="25"/>
      <c r="O4" s="25"/>
      <c r="P4" s="25"/>
      <c r="Q4" s="25"/>
      <c r="R4" s="25"/>
      <c r="S4" s="25"/>
    </row>
    <row r="5" spans="1:19" x14ac:dyDescent="0.2">
      <c r="A5" s="25"/>
      <c r="B5" s="513" t="s">
        <v>1044</v>
      </c>
      <c r="C5" s="514">
        <f>DEGREES(ATAN2(C3,C4))</f>
        <v>58.781597235653635</v>
      </c>
      <c r="D5" s="25" t="s">
        <v>2108</v>
      </c>
      <c r="E5" s="25"/>
      <c r="F5" s="25"/>
      <c r="G5" s="25"/>
      <c r="H5" s="509"/>
      <c r="I5" s="25"/>
      <c r="J5" s="25"/>
      <c r="K5" s="25"/>
      <c r="L5" s="25"/>
      <c r="M5" s="25"/>
      <c r="N5" s="25"/>
      <c r="O5" s="25"/>
      <c r="P5" s="25"/>
      <c r="Q5" s="25"/>
      <c r="R5" s="25"/>
      <c r="S5" s="25"/>
    </row>
    <row r="6" spans="1:19" x14ac:dyDescent="0.2">
      <c r="A6" s="25"/>
      <c r="B6" s="513" t="s">
        <v>1048</v>
      </c>
      <c r="C6" s="515">
        <f>SQRT(((C4*C4)+(C3*C3)))</f>
        <v>3.8587562763149474</v>
      </c>
      <c r="D6" s="25"/>
      <c r="E6" s="25"/>
      <c r="F6" s="25"/>
      <c r="G6" s="25"/>
      <c r="H6" s="25"/>
      <c r="I6" s="25"/>
      <c r="J6" s="25"/>
      <c r="K6" s="25"/>
      <c r="L6" s="25"/>
      <c r="M6" s="25"/>
      <c r="N6" s="25"/>
      <c r="O6" s="25"/>
      <c r="P6" s="25"/>
      <c r="Q6" s="25"/>
      <c r="R6" s="25"/>
      <c r="S6" s="25"/>
    </row>
    <row r="7" spans="1:19" x14ac:dyDescent="0.2">
      <c r="A7" s="25"/>
      <c r="B7" s="25"/>
      <c r="C7" s="25"/>
      <c r="D7" s="25"/>
      <c r="E7" s="25"/>
      <c r="F7" s="25"/>
      <c r="G7" s="25"/>
      <c r="H7" s="25"/>
      <c r="I7" s="25"/>
      <c r="J7" s="25"/>
      <c r="K7" s="25"/>
      <c r="L7" s="25"/>
      <c r="M7" s="25"/>
      <c r="N7" s="25"/>
      <c r="O7" s="25"/>
      <c r="P7" s="25"/>
      <c r="Q7" s="25"/>
      <c r="R7" s="25"/>
      <c r="S7" s="25"/>
    </row>
    <row r="8" spans="1:19" x14ac:dyDescent="0.2">
      <c r="A8" s="25"/>
      <c r="B8" s="898" t="str">
        <f>IF(MASTERSWITCH=1,"EVALUATION PERIOD EXPIRED!","")</f>
        <v/>
      </c>
      <c r="C8" s="898"/>
      <c r="D8" s="898"/>
      <c r="E8" s="25"/>
      <c r="F8" s="25"/>
      <c r="G8" s="25"/>
      <c r="H8" s="25"/>
      <c r="I8" s="25"/>
      <c r="J8" s="25"/>
      <c r="K8" s="25"/>
      <c r="L8" s="25"/>
      <c r="M8" s="25"/>
      <c r="N8" s="25"/>
      <c r="O8" s="25"/>
      <c r="P8" s="25"/>
      <c r="Q8" s="25"/>
      <c r="R8" s="25"/>
      <c r="S8" s="25"/>
    </row>
    <row r="9" spans="1:19" x14ac:dyDescent="0.2">
      <c r="A9" s="25"/>
      <c r="B9" s="898" t="str">
        <f>IF(MASTERSWITCH=1,"PLEASE PURCHASE LICENSE TO","")</f>
        <v/>
      </c>
      <c r="C9" s="898"/>
      <c r="D9" s="898"/>
      <c r="E9" s="25"/>
      <c r="F9" s="25"/>
      <c r="G9" s="25"/>
      <c r="H9" s="25"/>
      <c r="I9" s="50"/>
      <c r="J9" s="25"/>
      <c r="K9" s="25"/>
      <c r="L9" s="25"/>
      <c r="M9" s="25"/>
      <c r="N9" s="25"/>
      <c r="O9" s="25"/>
      <c r="P9" s="25"/>
      <c r="Q9" s="25"/>
      <c r="R9" s="25"/>
      <c r="S9" s="25"/>
    </row>
    <row r="10" spans="1:19" ht="13.5" thickBot="1" x14ac:dyDescent="0.25">
      <c r="A10" s="25"/>
      <c r="B10" s="898" t="str">
        <f>IF(MASTERSWITCH=1,"CONTINUE USING THIS PROGRAM","")</f>
        <v/>
      </c>
      <c r="C10" s="898"/>
      <c r="D10" s="898"/>
      <c r="E10" s="25"/>
      <c r="F10" s="25"/>
      <c r="G10" s="25"/>
      <c r="H10" s="25"/>
      <c r="I10" s="25"/>
      <c r="J10" s="25"/>
      <c r="K10" s="25"/>
      <c r="L10" s="25"/>
      <c r="M10" s="25"/>
      <c r="N10" s="25"/>
      <c r="O10" s="25"/>
      <c r="P10" s="25"/>
      <c r="Q10" s="25"/>
      <c r="R10" s="25"/>
      <c r="S10" s="25"/>
    </row>
    <row r="11" spans="1:19" ht="16.5" thickBot="1" x14ac:dyDescent="0.3">
      <c r="A11" s="25"/>
      <c r="B11" s="70"/>
      <c r="C11" s="70"/>
      <c r="D11" s="25"/>
      <c r="E11" s="25"/>
      <c r="F11" s="25"/>
      <c r="G11" s="25"/>
      <c r="H11" s="25"/>
      <c r="I11" s="25"/>
      <c r="J11" s="510">
        <f>C6</f>
        <v>3.8587562763149474</v>
      </c>
      <c r="K11" s="25"/>
      <c r="L11" s="25"/>
      <c r="M11" s="25"/>
      <c r="N11" s="25"/>
      <c r="O11" s="25"/>
      <c r="P11" s="25"/>
      <c r="Q11" s="25"/>
      <c r="R11" s="25"/>
      <c r="S11" s="25"/>
    </row>
    <row r="12" spans="1:19" ht="16.5" thickBot="1" x14ac:dyDescent="0.3">
      <c r="A12" s="839" t="s">
        <v>1606</v>
      </c>
      <c r="B12" s="839"/>
      <c r="C12" s="520">
        <v>22.5</v>
      </c>
      <c r="D12" s="25"/>
      <c r="E12" s="571">
        <f>C4</f>
        <v>3.3</v>
      </c>
      <c r="F12" s="25"/>
      <c r="G12" s="25"/>
      <c r="H12" s="25"/>
      <c r="I12" s="25"/>
      <c r="J12" s="25"/>
      <c r="K12" s="25"/>
      <c r="L12" s="25"/>
      <c r="M12" s="25"/>
      <c r="N12" s="25"/>
      <c r="O12" s="25"/>
      <c r="P12" s="25"/>
      <c r="Q12" s="25"/>
      <c r="R12" s="25"/>
      <c r="S12" s="25"/>
    </row>
    <row r="13" spans="1:19" x14ac:dyDescent="0.2">
      <c r="A13" s="839" t="s">
        <v>1056</v>
      </c>
      <c r="B13" s="839"/>
      <c r="C13" s="519">
        <f>(C12/2)*(C6/C4)</f>
        <v>13.154850941982776</v>
      </c>
      <c r="D13" s="25"/>
      <c r="E13" s="25"/>
      <c r="F13" s="25"/>
      <c r="G13" s="25"/>
      <c r="H13" s="25"/>
      <c r="I13" s="25"/>
      <c r="J13" s="25"/>
      <c r="K13" s="25"/>
      <c r="L13" s="25"/>
      <c r="M13" s="25"/>
      <c r="N13" s="25"/>
      <c r="O13" s="25"/>
      <c r="P13" s="25"/>
      <c r="Q13" s="25"/>
      <c r="R13" s="25"/>
      <c r="S13" s="25"/>
    </row>
    <row r="14" spans="1:19" ht="13.5" thickBot="1" x14ac:dyDescent="0.25">
      <c r="A14" s="839" t="s">
        <v>1057</v>
      </c>
      <c r="B14" s="839"/>
      <c r="C14" s="519">
        <f>C13</f>
        <v>13.154850941982776</v>
      </c>
      <c r="D14" s="25"/>
      <c r="E14" s="25"/>
      <c r="F14" s="25"/>
      <c r="G14" s="25"/>
      <c r="H14" s="25"/>
      <c r="I14" s="25"/>
      <c r="J14" s="25"/>
      <c r="K14" s="25"/>
      <c r="L14" s="25"/>
      <c r="M14" s="25"/>
      <c r="N14" s="25"/>
      <c r="O14" s="25"/>
      <c r="P14" s="25"/>
      <c r="Q14" s="25"/>
      <c r="R14" s="25"/>
      <c r="S14" s="25"/>
    </row>
    <row r="15" spans="1:19" ht="16.5" customHeight="1" thickBot="1" x14ac:dyDescent="0.3">
      <c r="A15" s="25"/>
      <c r="B15" s="369"/>
      <c r="C15" s="70"/>
      <c r="D15" s="25"/>
      <c r="E15" s="25"/>
      <c r="F15" s="25"/>
      <c r="G15" s="25"/>
      <c r="H15" s="25"/>
      <c r="I15" s="25"/>
      <c r="J15" s="25"/>
      <c r="K15" s="25"/>
      <c r="L15" s="511">
        <f>C5</f>
        <v>58.781597235653635</v>
      </c>
      <c r="M15" s="440" t="s">
        <v>2108</v>
      </c>
      <c r="N15" s="25"/>
      <c r="O15" s="25"/>
      <c r="P15" s="25"/>
      <c r="Q15" s="25"/>
      <c r="R15" s="25"/>
      <c r="S15" s="25"/>
    </row>
    <row r="16" spans="1:19" x14ac:dyDescent="0.2">
      <c r="A16" s="25"/>
      <c r="B16" s="25"/>
      <c r="C16" s="25"/>
      <c r="D16" s="25"/>
      <c r="E16" s="25"/>
      <c r="F16" s="25"/>
      <c r="G16" s="25"/>
      <c r="H16" s="25"/>
      <c r="I16" s="25"/>
      <c r="J16" s="25"/>
      <c r="K16" s="25"/>
      <c r="L16" s="25"/>
      <c r="M16" s="25"/>
      <c r="N16" s="25"/>
      <c r="O16" s="25"/>
      <c r="P16" s="25"/>
      <c r="Q16" s="25"/>
      <c r="R16" s="25"/>
      <c r="S16" s="25"/>
    </row>
    <row r="17" spans="1:19" x14ac:dyDescent="0.2">
      <c r="A17" s="25"/>
      <c r="B17" s="25"/>
      <c r="C17" s="25"/>
      <c r="D17" s="25"/>
      <c r="E17" s="25"/>
      <c r="F17" s="25"/>
      <c r="G17" s="25"/>
      <c r="H17" s="25"/>
      <c r="I17" s="25"/>
      <c r="J17" s="25"/>
      <c r="K17" s="25"/>
      <c r="L17" s="25"/>
      <c r="M17" s="25"/>
      <c r="N17" s="25"/>
      <c r="O17" s="25"/>
      <c r="P17" s="25"/>
      <c r="Q17" s="25"/>
      <c r="R17" s="25"/>
      <c r="S17" s="25"/>
    </row>
    <row r="18" spans="1:19" ht="13.5" customHeight="1" x14ac:dyDescent="0.2">
      <c r="A18" s="25"/>
      <c r="B18" s="25"/>
      <c r="C18" s="25"/>
      <c r="D18" s="25"/>
      <c r="E18" s="25"/>
      <c r="F18" s="25"/>
      <c r="G18" s="25"/>
      <c r="H18" s="25"/>
      <c r="I18" s="25"/>
      <c r="J18" s="25"/>
      <c r="K18" s="25"/>
      <c r="L18" s="25"/>
      <c r="M18" s="25"/>
      <c r="N18" s="25"/>
      <c r="O18" s="25"/>
      <c r="P18" s="25"/>
      <c r="Q18" s="25"/>
      <c r="R18" s="25"/>
      <c r="S18" s="25"/>
    </row>
    <row r="19" spans="1:19" ht="13.5" thickBot="1" x14ac:dyDescent="0.25">
      <c r="A19" s="25"/>
      <c r="B19" s="70"/>
      <c r="C19" s="70"/>
      <c r="D19" s="25"/>
      <c r="E19" s="25"/>
      <c r="F19" s="25"/>
      <c r="G19" s="25"/>
      <c r="H19" s="25"/>
      <c r="I19" s="25"/>
      <c r="J19" s="25"/>
      <c r="K19" s="25"/>
      <c r="L19" s="25"/>
      <c r="M19" s="25"/>
      <c r="N19" s="25"/>
      <c r="O19" s="25"/>
      <c r="P19" s="25"/>
      <c r="Q19" s="25"/>
      <c r="R19" s="25"/>
      <c r="S19" s="25"/>
    </row>
    <row r="20" spans="1:19" ht="16.5" thickBot="1" x14ac:dyDescent="0.3">
      <c r="A20" s="25"/>
      <c r="B20" s="70"/>
      <c r="C20" s="70"/>
      <c r="D20" s="25"/>
      <c r="E20" s="25"/>
      <c r="F20" s="25"/>
      <c r="G20" s="25"/>
      <c r="H20" s="25"/>
      <c r="I20" s="571">
        <f>C3</f>
        <v>2</v>
      </c>
      <c r="J20" s="25"/>
      <c r="K20" s="25"/>
      <c r="L20" s="25"/>
      <c r="M20" s="25"/>
      <c r="N20" s="25"/>
      <c r="O20" s="25"/>
      <c r="P20" s="25"/>
      <c r="Q20" s="25"/>
      <c r="R20" s="25"/>
      <c r="S20" s="25"/>
    </row>
    <row r="21" spans="1:19" x14ac:dyDescent="0.2">
      <c r="A21" s="25"/>
      <c r="B21" s="70"/>
      <c r="C21" s="70"/>
      <c r="D21" s="25"/>
      <c r="E21" s="25"/>
      <c r="F21" s="25"/>
      <c r="G21" s="25"/>
      <c r="H21" s="25"/>
      <c r="I21" s="25"/>
      <c r="J21" s="25"/>
      <c r="K21" s="25"/>
      <c r="L21" s="25"/>
      <c r="M21" s="25"/>
      <c r="N21" s="25"/>
      <c r="O21" s="25"/>
      <c r="P21" s="25"/>
      <c r="Q21" s="25"/>
      <c r="R21" s="25"/>
      <c r="S21" s="25"/>
    </row>
    <row r="22" spans="1:19" x14ac:dyDescent="0.2">
      <c r="A22" s="25"/>
      <c r="B22" s="70"/>
      <c r="C22" s="70"/>
      <c r="D22" s="25"/>
      <c r="E22" s="25"/>
      <c r="G22" s="25"/>
      <c r="H22" s="25"/>
      <c r="I22" s="25"/>
      <c r="J22" s="25"/>
      <c r="L22" s="25"/>
      <c r="M22" s="25"/>
      <c r="N22" s="25"/>
      <c r="O22" s="25"/>
      <c r="P22" s="25"/>
      <c r="Q22" s="25"/>
      <c r="R22" s="25"/>
      <c r="S22" s="25"/>
    </row>
    <row r="23" spans="1:19" x14ac:dyDescent="0.2">
      <c r="A23" s="25"/>
      <c r="B23" s="70"/>
      <c r="C23" s="70"/>
      <c r="D23" s="25"/>
      <c r="E23" s="25"/>
      <c r="F23" s="25"/>
      <c r="G23" s="25"/>
      <c r="H23" s="25"/>
      <c r="I23" s="25"/>
      <c r="J23" s="25"/>
      <c r="K23" s="25"/>
      <c r="L23" s="25"/>
      <c r="M23" s="25"/>
      <c r="N23" s="25"/>
      <c r="O23" s="25"/>
      <c r="P23" s="25"/>
      <c r="Q23" s="25"/>
      <c r="R23" s="25"/>
      <c r="S23" s="25"/>
    </row>
    <row r="24" spans="1:19" x14ac:dyDescent="0.2">
      <c r="A24" s="25"/>
      <c r="B24" s="369"/>
      <c r="C24" s="255"/>
      <c r="D24" s="25"/>
      <c r="E24" s="25"/>
      <c r="F24" s="25"/>
      <c r="G24" s="25"/>
      <c r="H24" s="25"/>
      <c r="I24" s="25"/>
      <c r="J24" s="25"/>
      <c r="K24" s="25"/>
      <c r="L24" s="25"/>
      <c r="M24" s="25"/>
      <c r="N24" s="25"/>
      <c r="O24" s="25"/>
      <c r="P24" s="25"/>
      <c r="Q24" s="25"/>
      <c r="R24" s="25"/>
      <c r="S24" s="25"/>
    </row>
    <row r="25" spans="1:19" x14ac:dyDescent="0.2">
      <c r="A25" s="25"/>
      <c r="B25" s="369"/>
      <c r="C25" s="255"/>
      <c r="D25" s="25"/>
      <c r="E25" s="25"/>
      <c r="F25" s="25"/>
      <c r="G25" s="25"/>
      <c r="H25" s="25"/>
      <c r="I25" s="25"/>
      <c r="J25" s="25"/>
      <c r="K25" s="25"/>
      <c r="L25" s="25"/>
      <c r="M25" s="25"/>
      <c r="N25" s="25"/>
      <c r="O25" s="25"/>
      <c r="P25" s="25"/>
      <c r="Q25" s="25"/>
      <c r="R25" s="25"/>
      <c r="S25" s="25"/>
    </row>
    <row r="26" spans="1:19" x14ac:dyDescent="0.2">
      <c r="A26" s="25"/>
      <c r="B26" s="369"/>
      <c r="C26" s="516"/>
      <c r="D26" s="25"/>
      <c r="E26" s="25"/>
      <c r="F26" s="25"/>
      <c r="G26" s="25"/>
      <c r="H26" s="25"/>
      <c r="I26" s="25"/>
      <c r="J26" s="25"/>
      <c r="K26" s="25"/>
      <c r="L26" s="25"/>
      <c r="M26" s="25"/>
      <c r="N26" s="25"/>
      <c r="O26" s="25"/>
      <c r="P26" s="25"/>
      <c r="Q26" s="25"/>
      <c r="R26" s="25"/>
      <c r="S26" s="25"/>
    </row>
    <row r="27" spans="1:19" x14ac:dyDescent="0.2">
      <c r="A27" s="25"/>
      <c r="B27" s="369"/>
      <c r="C27" s="517"/>
      <c r="D27" s="25"/>
      <c r="E27" s="25"/>
      <c r="F27" s="25"/>
      <c r="G27" s="25"/>
      <c r="H27" s="25"/>
      <c r="I27" s="25"/>
      <c r="J27" s="25"/>
      <c r="K27" s="25"/>
      <c r="L27" s="25"/>
      <c r="M27" s="25"/>
      <c r="N27" s="25"/>
      <c r="O27" s="25"/>
      <c r="P27" s="25"/>
      <c r="Q27" s="25"/>
      <c r="R27" s="25"/>
      <c r="S27" s="25"/>
    </row>
    <row r="28" spans="1:19" x14ac:dyDescent="0.2">
      <c r="A28" s="25"/>
      <c r="B28" s="70"/>
      <c r="C28" s="70"/>
      <c r="D28" s="25"/>
      <c r="E28" s="25"/>
      <c r="F28" s="25"/>
      <c r="G28" s="25"/>
      <c r="H28" s="25"/>
      <c r="I28" s="25"/>
      <c r="J28" s="25"/>
      <c r="K28" s="25"/>
      <c r="L28" s="25"/>
      <c r="M28" s="25"/>
      <c r="N28" s="25"/>
      <c r="O28" s="25"/>
      <c r="P28" s="25"/>
      <c r="Q28" s="25"/>
      <c r="R28" s="25"/>
      <c r="S28" s="25"/>
    </row>
    <row r="29" spans="1:19" x14ac:dyDescent="0.2">
      <c r="A29" s="633"/>
      <c r="B29" s="70"/>
      <c r="C29" s="70"/>
      <c r="D29" s="25"/>
      <c r="E29" s="25"/>
      <c r="F29" s="25"/>
      <c r="G29" s="25"/>
      <c r="H29" s="25"/>
      <c r="I29" s="25"/>
      <c r="J29" s="25"/>
      <c r="K29" s="25"/>
      <c r="L29" s="25"/>
      <c r="M29" s="25"/>
      <c r="N29" s="25"/>
      <c r="O29" s="25"/>
      <c r="P29" s="25"/>
      <c r="Q29" s="25"/>
      <c r="R29" s="25"/>
      <c r="S29" s="25"/>
    </row>
    <row r="30" spans="1:19" x14ac:dyDescent="0.2">
      <c r="A30" s="25"/>
      <c r="B30" s="70"/>
      <c r="C30" s="70"/>
      <c r="D30" s="25"/>
      <c r="E30" s="25"/>
      <c r="F30" s="25"/>
      <c r="G30" s="25"/>
      <c r="H30" s="25"/>
      <c r="I30" s="25"/>
      <c r="J30" s="25"/>
      <c r="K30" s="25"/>
      <c r="L30" s="25"/>
      <c r="M30" s="25"/>
      <c r="N30" s="25"/>
      <c r="O30" s="25"/>
      <c r="P30" s="25"/>
      <c r="Q30" s="25"/>
      <c r="R30" s="25"/>
      <c r="S30" s="25"/>
    </row>
    <row r="31" spans="1:19" x14ac:dyDescent="0.2">
      <c r="A31" s="25"/>
      <c r="B31" s="70"/>
      <c r="C31" s="70"/>
      <c r="D31" s="25"/>
      <c r="E31" s="25"/>
      <c r="F31" s="25"/>
      <c r="G31" s="25"/>
      <c r="H31" s="25"/>
      <c r="I31" s="25"/>
      <c r="J31" s="25"/>
      <c r="K31" s="25"/>
      <c r="L31" s="25"/>
      <c r="M31" s="25"/>
      <c r="N31" s="25"/>
      <c r="O31" s="25"/>
      <c r="P31" s="25"/>
      <c r="Q31" s="25"/>
      <c r="R31" s="25"/>
      <c r="S31" s="25"/>
    </row>
    <row r="32" spans="1:19" x14ac:dyDescent="0.2">
      <c r="A32" s="25"/>
      <c r="B32" s="25"/>
      <c r="C32" s="25"/>
      <c r="D32" s="25"/>
      <c r="E32" s="25"/>
      <c r="F32" s="25"/>
      <c r="G32" s="25"/>
      <c r="H32" s="25"/>
      <c r="I32" s="25"/>
      <c r="J32" s="25"/>
      <c r="K32" s="25"/>
      <c r="L32" s="25"/>
      <c r="M32" s="25"/>
      <c r="N32" s="25"/>
      <c r="O32" s="25"/>
      <c r="P32" s="25"/>
      <c r="Q32" s="25"/>
      <c r="R32" s="25"/>
      <c r="S32" s="25"/>
    </row>
    <row r="33" spans="1:19" x14ac:dyDescent="0.2">
      <c r="A33" s="25"/>
      <c r="B33" s="25"/>
      <c r="C33" s="25"/>
      <c r="D33" s="25"/>
      <c r="E33" s="25"/>
      <c r="F33" s="25"/>
      <c r="G33" s="25"/>
      <c r="H33" s="25"/>
      <c r="I33" s="25"/>
      <c r="J33" s="25"/>
      <c r="K33" s="25"/>
      <c r="L33" s="25"/>
      <c r="M33" s="25"/>
      <c r="N33" s="25"/>
      <c r="O33" s="25"/>
      <c r="P33" s="25"/>
      <c r="Q33" s="25"/>
      <c r="R33" s="25"/>
      <c r="S33" s="25"/>
    </row>
    <row r="34" spans="1:19" x14ac:dyDescent="0.2">
      <c r="A34" s="25"/>
      <c r="B34" s="25"/>
      <c r="C34" s="25"/>
      <c r="D34" s="25"/>
      <c r="E34" s="25"/>
      <c r="F34" s="25"/>
      <c r="G34" s="25"/>
      <c r="H34" s="25"/>
      <c r="I34" s="25"/>
      <c r="J34" s="25"/>
      <c r="K34" s="25"/>
      <c r="L34" s="25"/>
      <c r="M34" s="25"/>
      <c r="N34" s="25"/>
      <c r="O34" s="25"/>
      <c r="P34" s="25"/>
      <c r="Q34" s="25"/>
      <c r="R34" s="25"/>
      <c r="S34" s="25"/>
    </row>
    <row r="35" spans="1:19" x14ac:dyDescent="0.2">
      <c r="A35" s="25"/>
      <c r="B35" s="25"/>
      <c r="C35" s="25"/>
      <c r="D35" s="25"/>
      <c r="E35" s="25"/>
      <c r="F35" s="25"/>
      <c r="G35" s="25"/>
      <c r="H35" s="25"/>
      <c r="I35" s="25"/>
      <c r="J35" s="25"/>
      <c r="K35" s="25"/>
      <c r="L35" s="25"/>
      <c r="M35" s="25"/>
      <c r="N35" s="25"/>
      <c r="O35" s="25"/>
      <c r="P35" s="25"/>
      <c r="Q35" s="25"/>
      <c r="R35" s="25"/>
      <c r="S35" s="25"/>
    </row>
    <row r="36" spans="1:19" x14ac:dyDescent="0.2">
      <c r="A36" s="25"/>
      <c r="B36" s="25"/>
      <c r="C36" s="25"/>
      <c r="D36" s="25"/>
      <c r="E36" s="25"/>
      <c r="F36" s="25"/>
      <c r="G36" s="25"/>
      <c r="H36" s="25"/>
      <c r="I36" s="25"/>
      <c r="J36" s="25"/>
      <c r="K36" s="25"/>
      <c r="L36" s="25"/>
      <c r="M36" s="25"/>
      <c r="N36" s="25"/>
      <c r="O36" s="25"/>
      <c r="P36" s="25"/>
      <c r="Q36" s="25"/>
      <c r="R36" s="25"/>
      <c r="S36" s="25"/>
    </row>
    <row r="37" spans="1:19" x14ac:dyDescent="0.2">
      <c r="A37" s="25"/>
      <c r="B37" s="25"/>
      <c r="C37" s="25"/>
      <c r="D37" s="25"/>
      <c r="E37" s="25"/>
      <c r="F37" s="25"/>
      <c r="G37" s="25"/>
      <c r="H37" s="25"/>
      <c r="I37" s="25"/>
      <c r="J37" s="25"/>
      <c r="K37" s="25"/>
      <c r="L37" s="25"/>
      <c r="M37" s="25"/>
      <c r="N37" s="25"/>
      <c r="O37" s="25"/>
      <c r="P37" s="25"/>
      <c r="Q37" s="25"/>
      <c r="R37" s="25"/>
      <c r="S37" s="25"/>
    </row>
    <row r="38" spans="1:19" x14ac:dyDescent="0.2">
      <c r="A38" s="25"/>
      <c r="B38" s="25"/>
      <c r="C38" s="25"/>
      <c r="D38" s="25"/>
      <c r="E38" s="25"/>
      <c r="F38" s="25"/>
      <c r="G38" s="25"/>
      <c r="H38" s="25"/>
      <c r="I38" s="25"/>
      <c r="J38" s="25"/>
      <c r="K38" s="25"/>
      <c r="L38" s="25"/>
      <c r="M38" s="25"/>
      <c r="N38" s="25"/>
      <c r="O38" s="25"/>
      <c r="P38" s="25"/>
      <c r="Q38" s="25"/>
      <c r="R38" s="25"/>
      <c r="S38" s="25"/>
    </row>
    <row r="39" spans="1:19" x14ac:dyDescent="0.2">
      <c r="A39" s="25"/>
      <c r="B39" s="25"/>
      <c r="C39" s="25"/>
      <c r="D39" s="25"/>
      <c r="E39" s="25"/>
      <c r="F39" s="25"/>
      <c r="G39" s="25"/>
      <c r="H39" s="25"/>
      <c r="I39" s="25"/>
      <c r="J39" s="25"/>
      <c r="K39" s="25"/>
      <c r="L39" s="25"/>
      <c r="M39" s="25"/>
      <c r="N39" s="25"/>
      <c r="O39" s="25"/>
      <c r="P39" s="25"/>
      <c r="Q39" s="25"/>
      <c r="R39" s="25"/>
      <c r="S39" s="25"/>
    </row>
    <row r="40" spans="1:19" x14ac:dyDescent="0.2">
      <c r="A40" s="25"/>
      <c r="B40" s="25"/>
      <c r="C40" s="25"/>
      <c r="D40" s="25"/>
      <c r="E40" s="25"/>
      <c r="F40" s="25"/>
      <c r="G40" s="25"/>
      <c r="H40" s="25"/>
      <c r="I40" s="25"/>
      <c r="J40" s="25"/>
      <c r="K40" s="25"/>
      <c r="L40" s="25"/>
      <c r="M40" s="25"/>
      <c r="N40" s="25"/>
      <c r="O40" s="25"/>
      <c r="P40" s="25"/>
      <c r="Q40" s="25"/>
      <c r="R40" s="25"/>
      <c r="S40" s="25"/>
    </row>
    <row r="41" spans="1:19" x14ac:dyDescent="0.2">
      <c r="A41" s="25"/>
      <c r="B41" s="25"/>
      <c r="C41" s="25"/>
      <c r="D41" s="25"/>
      <c r="E41" s="25"/>
      <c r="F41" s="25"/>
      <c r="G41" s="25"/>
      <c r="H41" s="25"/>
      <c r="I41" s="25"/>
      <c r="J41" s="25"/>
      <c r="K41" s="25"/>
      <c r="L41" s="25"/>
      <c r="M41" s="25"/>
      <c r="N41" s="25"/>
      <c r="O41" s="25"/>
      <c r="P41" s="25"/>
      <c r="Q41" s="25"/>
      <c r="R41" s="25"/>
      <c r="S41" s="25"/>
    </row>
    <row r="42" spans="1:19" x14ac:dyDescent="0.2">
      <c r="A42" s="25"/>
      <c r="B42" s="25"/>
      <c r="C42" s="25"/>
      <c r="D42" s="25"/>
      <c r="E42" s="25"/>
      <c r="F42" s="25"/>
      <c r="G42" s="25"/>
      <c r="H42" s="25"/>
      <c r="I42" s="25"/>
      <c r="J42" s="25"/>
      <c r="K42" s="25"/>
      <c r="L42" s="25"/>
      <c r="M42" s="25"/>
      <c r="N42" s="25"/>
      <c r="O42" s="25"/>
      <c r="P42" s="25"/>
      <c r="Q42" s="25"/>
      <c r="R42" s="25"/>
      <c r="S42" s="25"/>
    </row>
    <row r="43" spans="1:19" x14ac:dyDescent="0.2">
      <c r="A43" s="25"/>
      <c r="B43" s="25"/>
      <c r="C43" s="25"/>
      <c r="D43" s="25"/>
      <c r="E43" s="25"/>
      <c r="F43" s="25"/>
      <c r="G43" s="25"/>
      <c r="H43" s="25"/>
      <c r="I43" s="25"/>
      <c r="J43" s="25"/>
      <c r="K43" s="25"/>
      <c r="L43" s="25"/>
      <c r="M43" s="25"/>
      <c r="N43" s="25"/>
      <c r="O43" s="25"/>
      <c r="P43" s="25"/>
      <c r="Q43" s="25"/>
      <c r="R43" s="25"/>
      <c r="S43" s="25"/>
    </row>
    <row r="44" spans="1:19" x14ac:dyDescent="0.2">
      <c r="A44" s="25"/>
      <c r="B44" s="25"/>
      <c r="C44" s="25"/>
      <c r="D44" s="25"/>
      <c r="E44" s="25"/>
      <c r="F44" s="25"/>
      <c r="G44" s="25"/>
      <c r="H44" s="25"/>
      <c r="I44" s="25"/>
      <c r="J44" s="25"/>
      <c r="K44" s="25"/>
      <c r="L44" s="25"/>
      <c r="M44" s="25"/>
      <c r="N44" s="25"/>
      <c r="O44" s="25"/>
      <c r="P44" s="25"/>
      <c r="Q44" s="25"/>
      <c r="R44" s="25"/>
      <c r="S44" s="25"/>
    </row>
    <row r="45" spans="1:19" x14ac:dyDescent="0.2">
      <c r="A45" s="25"/>
      <c r="B45" s="25"/>
      <c r="C45" s="25"/>
      <c r="D45" s="25"/>
      <c r="E45" s="25"/>
      <c r="F45" s="25"/>
      <c r="G45" s="25"/>
      <c r="H45" s="25"/>
      <c r="I45" s="25"/>
      <c r="J45" s="25"/>
      <c r="K45" s="25"/>
      <c r="L45" s="25"/>
      <c r="M45" s="25"/>
      <c r="N45" s="25"/>
      <c r="O45" s="25"/>
      <c r="P45" s="25"/>
      <c r="Q45" s="25"/>
      <c r="R45" s="25"/>
      <c r="S45" s="25"/>
    </row>
    <row r="46" spans="1:19" x14ac:dyDescent="0.2">
      <c r="A46" s="25"/>
      <c r="B46" s="25"/>
      <c r="C46" s="25"/>
      <c r="D46" s="25"/>
      <c r="E46" s="25"/>
      <c r="F46" s="25"/>
      <c r="G46" s="25"/>
      <c r="H46" s="25"/>
      <c r="I46" s="25"/>
      <c r="J46" s="25"/>
      <c r="K46" s="25"/>
      <c r="L46" s="25"/>
      <c r="M46" s="25"/>
      <c r="N46" s="25"/>
      <c r="O46" s="25"/>
      <c r="P46" s="25"/>
      <c r="Q46" s="25"/>
      <c r="R46" s="25"/>
      <c r="S46" s="25"/>
    </row>
    <row r="47" spans="1:19" x14ac:dyDescent="0.2">
      <c r="A47" s="25"/>
      <c r="B47" s="25"/>
      <c r="C47" s="25"/>
      <c r="D47" s="25"/>
      <c r="E47" s="25"/>
      <c r="F47" s="25"/>
      <c r="G47" s="25"/>
      <c r="H47" s="25"/>
      <c r="I47" s="25"/>
      <c r="J47" s="25"/>
      <c r="K47" s="25"/>
      <c r="L47" s="25"/>
      <c r="M47" s="25"/>
      <c r="N47" s="25"/>
      <c r="O47" s="25"/>
      <c r="P47" s="25"/>
      <c r="Q47" s="25"/>
      <c r="R47" s="25"/>
      <c r="S47" s="25"/>
    </row>
    <row r="48" spans="1:19" x14ac:dyDescent="0.2">
      <c r="A48" s="25"/>
      <c r="B48" s="25"/>
      <c r="C48" s="25"/>
      <c r="D48" s="25"/>
      <c r="E48" s="25"/>
      <c r="F48" s="25"/>
      <c r="G48" s="25"/>
      <c r="H48" s="25"/>
      <c r="I48" s="25"/>
      <c r="J48" s="25"/>
      <c r="K48" s="25"/>
      <c r="L48" s="25"/>
      <c r="M48" s="25"/>
      <c r="N48" s="25"/>
      <c r="O48" s="25"/>
      <c r="P48" s="25"/>
      <c r="Q48" s="25"/>
      <c r="R48" s="25"/>
      <c r="S48" s="25"/>
    </row>
    <row r="49" spans="1:19" x14ac:dyDescent="0.2">
      <c r="A49" s="25"/>
      <c r="B49" s="25"/>
      <c r="C49" s="25"/>
      <c r="D49" s="25"/>
      <c r="E49" s="25"/>
      <c r="F49" s="25"/>
      <c r="G49" s="25"/>
      <c r="H49" s="25"/>
      <c r="I49" s="25"/>
      <c r="J49" s="25"/>
      <c r="K49" s="25"/>
      <c r="L49" s="25"/>
      <c r="M49" s="25"/>
      <c r="N49" s="25"/>
      <c r="O49" s="25"/>
      <c r="P49" s="25"/>
      <c r="Q49" s="25"/>
      <c r="R49" s="25"/>
      <c r="S49" s="25"/>
    </row>
    <row r="50" spans="1:19" x14ac:dyDescent="0.2">
      <c r="A50" s="25"/>
      <c r="B50" s="25"/>
      <c r="C50" s="25"/>
      <c r="D50" s="25"/>
      <c r="E50" s="25"/>
      <c r="F50" s="25"/>
      <c r="G50" s="25"/>
      <c r="H50" s="25"/>
      <c r="I50" s="25"/>
      <c r="J50" s="25"/>
      <c r="K50" s="25"/>
      <c r="L50" s="25"/>
      <c r="M50" s="25"/>
      <c r="N50" s="25"/>
      <c r="O50" s="25"/>
      <c r="P50" s="25"/>
      <c r="Q50" s="25"/>
      <c r="R50" s="25"/>
      <c r="S50" s="25"/>
    </row>
  </sheetData>
  <sheetProtection password="D809" sheet="1" objects="1" scenarios="1" selectLockedCells="1"/>
  <mergeCells count="9">
    <mergeCell ref="F4:K4"/>
    <mergeCell ref="A14:B14"/>
    <mergeCell ref="F2:K2"/>
    <mergeCell ref="A12:B12"/>
    <mergeCell ref="A13:B13"/>
    <mergeCell ref="F3:K3"/>
    <mergeCell ref="B8:D8"/>
    <mergeCell ref="B9:D9"/>
    <mergeCell ref="B10:D10"/>
  </mergeCells>
  <phoneticPr fontId="15" type="noConversion"/>
  <conditionalFormatting sqref="F4:K4">
    <cfRule type="expression" dxfId="107" priority="1" stopIfTrue="1">
      <formula>(C5&lt;30)</formula>
    </cfRule>
  </conditionalFormatting>
  <conditionalFormatting sqref="E12 C3:C6 C12 J11 L15:M15 I20">
    <cfRule type="expression" dxfId="106" priority="2" stopIfTrue="1">
      <formula>(MASTERSWITCH=1)</formula>
    </cfRule>
  </conditionalFormatting>
  <conditionalFormatting sqref="C13:C14">
    <cfRule type="expression" dxfId="105" priority="3" stopIfTrue="1">
      <formula>($C$5&lt;30)</formula>
    </cfRule>
    <cfRule type="expression" dxfId="104" priority="4" stopIfTrue="1">
      <formula>(MASTERSWITCH=1)</formula>
    </cfRule>
  </conditionalFormatting>
  <conditionalFormatting sqref="B8:D10">
    <cfRule type="expression" dxfId="103" priority="5" stopIfTrue="1">
      <formula>(MASTERSWITCH=1)</formula>
    </cfRule>
  </conditionalFormatting>
  <printOptions horizontalCentered="1"/>
  <pageMargins left="0.75" right="0.75" top="1.75" bottom="1.5" header="0.5" footer="0.5"/>
  <pageSetup scale="71" orientation="portrait" horizontalDpi="0" verticalDpi="0" r:id="rId1"/>
  <headerFooter alignWithMargins="0">
    <oddHeader>&amp;L&amp;G&amp;R&amp;G</oddHeader>
    <oddFooter>&amp;L&amp;G&amp;R&amp;D
&amp;T</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81"/>
  <sheetViews>
    <sheetView workbookViewId="0">
      <selection activeCell="D17" sqref="D17"/>
    </sheetView>
  </sheetViews>
  <sheetFormatPr defaultRowHeight="12.75" x14ac:dyDescent="0.2"/>
  <cols>
    <col min="1" max="2" width="14" customWidth="1"/>
    <col min="3" max="3" width="10.28515625" customWidth="1"/>
    <col min="4" max="4" width="89.7109375" bestFit="1" customWidth="1"/>
    <col min="5" max="5" width="18" bestFit="1" customWidth="1"/>
    <col min="6" max="9" width="14.28515625" customWidth="1"/>
  </cols>
  <sheetData>
    <row r="1" spans="1:9" x14ac:dyDescent="0.2">
      <c r="A1" s="25"/>
      <c r="B1" s="25"/>
      <c r="C1" s="25"/>
      <c r="D1" s="25"/>
      <c r="E1" s="25"/>
      <c r="F1" s="25"/>
      <c r="G1" s="25"/>
      <c r="H1" s="25"/>
      <c r="I1" s="25"/>
    </row>
    <row r="2" spans="1:9" ht="18" x14ac:dyDescent="0.25">
      <c r="A2" s="25"/>
      <c r="B2" s="25"/>
      <c r="C2" s="25"/>
      <c r="D2" s="601" t="s">
        <v>911</v>
      </c>
      <c r="E2" s="25"/>
      <c r="F2" s="25"/>
      <c r="G2" s="25"/>
      <c r="H2" s="25"/>
      <c r="I2" s="25"/>
    </row>
    <row r="3" spans="1:9" x14ac:dyDescent="0.2">
      <c r="A3" s="25"/>
      <c r="B3" s="25"/>
      <c r="C3" s="25"/>
      <c r="D3" s="25"/>
      <c r="E3" s="73"/>
      <c r="F3" s="73"/>
      <c r="G3" s="73"/>
      <c r="H3" s="73"/>
      <c r="I3" s="73"/>
    </row>
    <row r="4" spans="1:9" x14ac:dyDescent="0.2">
      <c r="A4" s="25"/>
      <c r="B4" s="25"/>
      <c r="C4" s="25"/>
      <c r="D4" s="25"/>
      <c r="E4" s="25"/>
      <c r="F4" s="25"/>
      <c r="G4" s="25"/>
      <c r="H4" s="25"/>
      <c r="I4" s="25"/>
    </row>
    <row r="5" spans="1:9" ht="15.75" x14ac:dyDescent="0.25">
      <c r="A5" s="25"/>
      <c r="B5" s="25"/>
      <c r="C5" s="25"/>
      <c r="D5" s="746"/>
      <c r="E5" s="25"/>
      <c r="F5" s="25"/>
      <c r="G5" s="25"/>
      <c r="H5" s="25"/>
      <c r="I5" s="25"/>
    </row>
    <row r="6" spans="1:9" x14ac:dyDescent="0.2">
      <c r="A6" s="25"/>
      <c r="B6" s="25"/>
      <c r="C6" s="25"/>
      <c r="D6" s="25"/>
      <c r="E6" s="25"/>
      <c r="F6" s="25"/>
      <c r="G6" s="25"/>
      <c r="H6" s="25"/>
      <c r="I6" s="25"/>
    </row>
    <row r="7" spans="1:9" x14ac:dyDescent="0.2">
      <c r="A7" s="25"/>
      <c r="B7" s="25"/>
      <c r="C7" s="25"/>
      <c r="D7" s="25"/>
      <c r="E7" s="25"/>
      <c r="F7" s="25"/>
      <c r="G7" s="25"/>
      <c r="H7" s="25"/>
      <c r="I7" s="25"/>
    </row>
    <row r="8" spans="1:9" x14ac:dyDescent="0.2">
      <c r="A8" s="25"/>
      <c r="B8" s="537" t="s">
        <v>577</v>
      </c>
      <c r="C8" s="537" t="s">
        <v>574</v>
      </c>
      <c r="D8" s="537" t="s">
        <v>525</v>
      </c>
      <c r="E8" s="537" t="s">
        <v>523</v>
      </c>
      <c r="F8" s="537" t="s">
        <v>524</v>
      </c>
      <c r="G8" s="25"/>
      <c r="H8" s="25"/>
      <c r="I8" s="25"/>
    </row>
    <row r="9" spans="1:9" x14ac:dyDescent="0.2">
      <c r="A9" s="25"/>
      <c r="B9" s="3" t="s">
        <v>640</v>
      </c>
      <c r="C9" s="3"/>
      <c r="D9" s="740" t="s">
        <v>637</v>
      </c>
      <c r="E9" s="739" t="s">
        <v>575</v>
      </c>
      <c r="F9" s="739" t="s">
        <v>576</v>
      </c>
      <c r="G9" s="25"/>
      <c r="H9" s="25"/>
      <c r="I9" s="25"/>
    </row>
    <row r="10" spans="1:9" x14ac:dyDescent="0.2">
      <c r="A10" s="25"/>
      <c r="B10" s="3"/>
      <c r="C10" s="3"/>
      <c r="D10" s="762" t="s">
        <v>638</v>
      </c>
      <c r="E10" s="739" t="s">
        <v>575</v>
      </c>
      <c r="F10" s="763" t="s">
        <v>639</v>
      </c>
      <c r="G10" s="25"/>
      <c r="H10" s="25"/>
      <c r="I10" s="25"/>
    </row>
    <row r="11" spans="1:9" ht="51" x14ac:dyDescent="0.2">
      <c r="A11" s="25"/>
      <c r="B11" s="3"/>
      <c r="C11" s="3"/>
      <c r="D11" s="764" t="s">
        <v>641</v>
      </c>
      <c r="E11" s="743" t="s">
        <v>575</v>
      </c>
      <c r="F11" s="743" t="s">
        <v>642</v>
      </c>
      <c r="G11" s="25"/>
      <c r="H11" s="25"/>
      <c r="I11" s="25"/>
    </row>
    <row r="12" spans="1:9" x14ac:dyDescent="0.2">
      <c r="A12" s="25"/>
      <c r="B12" s="3"/>
      <c r="C12" s="3"/>
      <c r="D12" s="762"/>
      <c r="E12" s="763"/>
      <c r="F12" s="763"/>
      <c r="G12" s="25"/>
      <c r="H12" s="25"/>
      <c r="I12" s="25"/>
    </row>
    <row r="13" spans="1:9" x14ac:dyDescent="0.2">
      <c r="A13" s="25"/>
      <c r="B13" s="3"/>
      <c r="C13" s="3"/>
      <c r="D13" s="762"/>
      <c r="E13" s="763"/>
      <c r="F13" s="763"/>
      <c r="G13" s="25"/>
      <c r="H13" s="25"/>
      <c r="I13" s="25"/>
    </row>
    <row r="14" spans="1:9" x14ac:dyDescent="0.2">
      <c r="A14" s="25"/>
      <c r="B14" s="428" t="s">
        <v>578</v>
      </c>
      <c r="C14" s="428"/>
      <c r="D14" s="741" t="s">
        <v>580</v>
      </c>
      <c r="E14" s="739" t="s">
        <v>584</v>
      </c>
      <c r="F14" s="763" t="s">
        <v>581</v>
      </c>
      <c r="G14" s="25"/>
      <c r="H14" s="25"/>
      <c r="I14" s="25"/>
    </row>
    <row r="15" spans="1:9" ht="25.5" x14ac:dyDescent="0.2">
      <c r="A15" s="25"/>
      <c r="B15" s="428"/>
      <c r="C15" s="428"/>
      <c r="D15" s="742" t="s">
        <v>582</v>
      </c>
      <c r="E15" s="743" t="s">
        <v>584</v>
      </c>
      <c r="F15" s="743" t="s">
        <v>583</v>
      </c>
      <c r="G15" s="25"/>
      <c r="H15" s="25"/>
      <c r="I15" s="25"/>
    </row>
    <row r="16" spans="1:9" ht="25.5" x14ac:dyDescent="0.2">
      <c r="A16" s="25"/>
      <c r="B16" s="428"/>
      <c r="C16" s="428"/>
      <c r="D16" s="742" t="s">
        <v>585</v>
      </c>
      <c r="E16" s="743" t="s">
        <v>584</v>
      </c>
      <c r="F16" s="743" t="s">
        <v>586</v>
      </c>
      <c r="G16" s="25"/>
      <c r="H16" s="25"/>
      <c r="I16" s="25"/>
    </row>
    <row r="17" spans="1:9" x14ac:dyDescent="0.2">
      <c r="A17" s="25"/>
      <c r="B17" s="428"/>
      <c r="C17" s="428"/>
      <c r="D17" s="742"/>
      <c r="E17" s="743" t="s">
        <v>584</v>
      </c>
      <c r="F17" s="763"/>
      <c r="G17" s="25"/>
      <c r="H17" s="25"/>
      <c r="I17" s="25"/>
    </row>
    <row r="18" spans="1:9" x14ac:dyDescent="0.2">
      <c r="A18" s="25"/>
      <c r="B18" s="428" t="s">
        <v>579</v>
      </c>
      <c r="C18" s="428"/>
      <c r="D18" s="742" t="s">
        <v>587</v>
      </c>
      <c r="E18" s="743" t="s">
        <v>584</v>
      </c>
      <c r="F18" s="734" t="s">
        <v>588</v>
      </c>
      <c r="G18" s="25"/>
      <c r="H18" s="25"/>
      <c r="I18" s="25"/>
    </row>
    <row r="19" spans="1:9" ht="25.5" x14ac:dyDescent="0.2">
      <c r="A19" s="25"/>
      <c r="B19" s="428"/>
      <c r="C19" s="428"/>
      <c r="D19" s="742" t="s">
        <v>589</v>
      </c>
      <c r="E19" s="743" t="s">
        <v>584</v>
      </c>
      <c r="F19" s="734" t="s">
        <v>1033</v>
      </c>
      <c r="G19" s="25"/>
      <c r="H19" s="25"/>
      <c r="I19" s="25"/>
    </row>
    <row r="20" spans="1:9" ht="38.25" x14ac:dyDescent="0.2">
      <c r="A20" s="25"/>
      <c r="B20" s="428"/>
      <c r="C20" s="428"/>
      <c r="D20" s="744" t="s">
        <v>590</v>
      </c>
      <c r="E20" s="743" t="s">
        <v>584</v>
      </c>
      <c r="F20" s="734" t="s">
        <v>591</v>
      </c>
      <c r="G20" s="25"/>
      <c r="H20" s="25"/>
      <c r="I20" s="25"/>
    </row>
    <row r="21" spans="1:9" x14ac:dyDescent="0.2">
      <c r="A21" s="25"/>
      <c r="B21" s="428"/>
      <c r="C21" s="428"/>
      <c r="D21" s="742" t="s">
        <v>592</v>
      </c>
      <c r="E21" s="743" t="s">
        <v>584</v>
      </c>
      <c r="F21" s="734" t="s">
        <v>593</v>
      </c>
      <c r="G21" s="25"/>
      <c r="H21" s="25"/>
      <c r="I21" s="25"/>
    </row>
    <row r="22" spans="1:9" ht="25.5" x14ac:dyDescent="0.2">
      <c r="A22" s="25"/>
      <c r="B22" s="428"/>
      <c r="C22" s="428"/>
      <c r="D22" s="742" t="s">
        <v>594</v>
      </c>
      <c r="E22" s="743" t="s">
        <v>584</v>
      </c>
      <c r="F22" s="734" t="s">
        <v>595</v>
      </c>
      <c r="G22" s="25"/>
      <c r="H22" s="25"/>
      <c r="I22" s="25"/>
    </row>
    <row r="23" spans="1:9" x14ac:dyDescent="0.2">
      <c r="A23" s="25"/>
      <c r="B23" s="428"/>
      <c r="C23" s="428"/>
      <c r="D23" s="742" t="s">
        <v>596</v>
      </c>
      <c r="E23" s="743" t="s">
        <v>584</v>
      </c>
      <c r="F23" s="734" t="s">
        <v>597</v>
      </c>
      <c r="G23" s="25"/>
      <c r="H23" s="25"/>
      <c r="I23" s="25"/>
    </row>
    <row r="24" spans="1:9" ht="38.25" x14ac:dyDescent="0.2">
      <c r="A24" s="25"/>
      <c r="B24" s="428"/>
      <c r="C24" s="428"/>
      <c r="D24" s="742" t="s">
        <v>598</v>
      </c>
      <c r="E24" s="743" t="s">
        <v>584</v>
      </c>
      <c r="F24" s="734" t="s">
        <v>599</v>
      </c>
      <c r="G24" s="25"/>
      <c r="H24" s="25"/>
      <c r="I24" s="25"/>
    </row>
    <row r="25" spans="1:9" x14ac:dyDescent="0.2">
      <c r="A25" s="25"/>
      <c r="B25" s="428"/>
      <c r="C25" s="428"/>
      <c r="D25" s="742"/>
      <c r="E25" s="739"/>
      <c r="F25" s="734"/>
      <c r="G25" s="25"/>
      <c r="H25" s="25"/>
      <c r="I25" s="25"/>
    </row>
    <row r="26" spans="1:9" x14ac:dyDescent="0.2">
      <c r="A26" s="25"/>
      <c r="B26" s="428" t="s">
        <v>600</v>
      </c>
      <c r="C26" s="428"/>
      <c r="D26" s="742" t="s">
        <v>601</v>
      </c>
      <c r="E26" s="743" t="s">
        <v>584</v>
      </c>
      <c r="F26" s="734" t="s">
        <v>602</v>
      </c>
      <c r="G26" s="25"/>
      <c r="H26" s="25"/>
      <c r="I26" s="25"/>
    </row>
    <row r="27" spans="1:9" ht="38.25" x14ac:dyDescent="0.2">
      <c r="A27" s="25"/>
      <c r="B27" s="428"/>
      <c r="C27" s="428"/>
      <c r="D27" s="742" t="s">
        <v>603</v>
      </c>
      <c r="E27" s="743" t="s">
        <v>584</v>
      </c>
      <c r="F27" s="734" t="s">
        <v>604</v>
      </c>
      <c r="G27" s="25"/>
      <c r="H27" s="25"/>
      <c r="I27" s="25"/>
    </row>
    <row r="28" spans="1:9" ht="38.25" x14ac:dyDescent="0.2">
      <c r="A28" s="25"/>
      <c r="B28" s="428"/>
      <c r="C28" s="428"/>
      <c r="D28" s="742" t="s">
        <v>605</v>
      </c>
      <c r="E28" s="743" t="s">
        <v>584</v>
      </c>
      <c r="F28" s="734" t="s">
        <v>606</v>
      </c>
      <c r="G28" s="25"/>
      <c r="H28" s="25"/>
      <c r="I28" s="25"/>
    </row>
    <row r="29" spans="1:9" ht="25.5" x14ac:dyDescent="0.2">
      <c r="A29" s="25"/>
      <c r="B29" s="428"/>
      <c r="C29" s="428"/>
      <c r="D29" s="742" t="s">
        <v>607</v>
      </c>
      <c r="E29" s="743" t="s">
        <v>584</v>
      </c>
      <c r="F29" s="734" t="s">
        <v>608</v>
      </c>
      <c r="G29" s="25"/>
      <c r="H29" s="25"/>
      <c r="I29" s="25"/>
    </row>
    <row r="30" spans="1:9" ht="25.5" x14ac:dyDescent="0.2">
      <c r="A30" s="25"/>
      <c r="B30" s="428"/>
      <c r="C30" s="428"/>
      <c r="D30" s="742" t="s">
        <v>609</v>
      </c>
      <c r="E30" s="743" t="s">
        <v>584</v>
      </c>
      <c r="F30" s="734" t="s">
        <v>610</v>
      </c>
      <c r="G30" s="25"/>
      <c r="H30" s="25"/>
      <c r="I30" s="25"/>
    </row>
    <row r="31" spans="1:9" ht="38.25" x14ac:dyDescent="0.2">
      <c r="A31" s="25"/>
      <c r="B31" s="428"/>
      <c r="C31" s="428"/>
      <c r="D31" s="742" t="s">
        <v>611</v>
      </c>
      <c r="E31" s="743" t="s">
        <v>584</v>
      </c>
      <c r="F31" s="734" t="s">
        <v>612</v>
      </c>
      <c r="G31" s="25"/>
      <c r="H31" s="25"/>
      <c r="I31" s="25"/>
    </row>
    <row r="32" spans="1:9" ht="25.5" x14ac:dyDescent="0.2">
      <c r="A32" s="25"/>
      <c r="B32" s="428"/>
      <c r="C32" s="428"/>
      <c r="D32" s="742" t="s">
        <v>613</v>
      </c>
      <c r="E32" s="743" t="s">
        <v>584</v>
      </c>
      <c r="F32" s="734" t="s">
        <v>614</v>
      </c>
      <c r="G32" s="25"/>
      <c r="H32" s="25"/>
      <c r="I32" s="25"/>
    </row>
    <row r="33" spans="1:9" x14ac:dyDescent="0.2">
      <c r="A33" s="25"/>
      <c r="B33" s="428"/>
      <c r="C33" s="428"/>
      <c r="D33" s="742" t="s">
        <v>596</v>
      </c>
      <c r="E33" s="743" t="s">
        <v>584</v>
      </c>
      <c r="F33" s="734" t="s">
        <v>615</v>
      </c>
      <c r="G33" s="25"/>
      <c r="H33" s="25"/>
      <c r="I33" s="25"/>
    </row>
    <row r="34" spans="1:9" ht="25.5" x14ac:dyDescent="0.2">
      <c r="A34" s="25"/>
      <c r="B34" s="428"/>
      <c r="C34" s="428"/>
      <c r="D34" s="745" t="s">
        <v>616</v>
      </c>
      <c r="E34" s="743" t="s">
        <v>584</v>
      </c>
      <c r="F34" s="734" t="s">
        <v>617</v>
      </c>
      <c r="G34" s="25"/>
      <c r="H34" s="25"/>
      <c r="I34" s="25"/>
    </row>
    <row r="35" spans="1:9" x14ac:dyDescent="0.2">
      <c r="A35" s="25"/>
      <c r="B35" s="428"/>
      <c r="C35" s="428"/>
      <c r="D35" s="742"/>
      <c r="E35" s="739"/>
      <c r="F35" s="734"/>
      <c r="G35" s="25"/>
      <c r="H35" s="25"/>
      <c r="I35" s="25"/>
    </row>
    <row r="36" spans="1:9" x14ac:dyDescent="0.2">
      <c r="A36" s="25"/>
      <c r="B36" s="428" t="s">
        <v>618</v>
      </c>
      <c r="C36" s="428"/>
      <c r="D36" s="742" t="s">
        <v>619</v>
      </c>
      <c r="E36" s="743" t="s">
        <v>584</v>
      </c>
      <c r="F36" s="734" t="s">
        <v>620</v>
      </c>
      <c r="G36" s="25"/>
      <c r="H36" s="25"/>
      <c r="I36" s="25"/>
    </row>
    <row r="37" spans="1:9" ht="38.25" x14ac:dyDescent="0.2">
      <c r="A37" s="25"/>
      <c r="B37" s="428"/>
      <c r="C37" s="428"/>
      <c r="D37" s="742" t="s">
        <v>621</v>
      </c>
      <c r="E37" s="743" t="s">
        <v>584</v>
      </c>
      <c r="F37" s="734" t="s">
        <v>622</v>
      </c>
      <c r="G37" s="25"/>
      <c r="H37" s="25"/>
      <c r="I37" s="25"/>
    </row>
    <row r="38" spans="1:9" ht="38.25" x14ac:dyDescent="0.2">
      <c r="A38" s="25"/>
      <c r="B38" s="428"/>
      <c r="C38" s="428"/>
      <c r="D38" s="742" t="s">
        <v>624</v>
      </c>
      <c r="E38" s="743" t="s">
        <v>584</v>
      </c>
      <c r="F38" s="734" t="s">
        <v>625</v>
      </c>
      <c r="G38" s="25"/>
      <c r="H38" s="25"/>
      <c r="I38" s="25"/>
    </row>
    <row r="39" spans="1:9" ht="25.5" x14ac:dyDescent="0.2">
      <c r="A39" s="25"/>
      <c r="B39" s="428"/>
      <c r="C39" s="428"/>
      <c r="D39" s="742" t="s">
        <v>626</v>
      </c>
      <c r="E39" s="743" t="s">
        <v>584</v>
      </c>
      <c r="F39" s="734" t="s">
        <v>627</v>
      </c>
      <c r="G39" s="25"/>
      <c r="H39" s="25"/>
      <c r="I39" s="25"/>
    </row>
    <row r="40" spans="1:9" ht="25.5" x14ac:dyDescent="0.2">
      <c r="A40" s="25"/>
      <c r="B40" s="428"/>
      <c r="C40" s="428"/>
      <c r="D40" s="742" t="s">
        <v>628</v>
      </c>
      <c r="E40" s="743" t="s">
        <v>584</v>
      </c>
      <c r="F40" s="739" t="s">
        <v>629</v>
      </c>
      <c r="G40" s="25"/>
      <c r="H40" s="25"/>
      <c r="I40" s="25"/>
    </row>
    <row r="41" spans="1:9" ht="25.5" x14ac:dyDescent="0.2">
      <c r="A41" s="25"/>
      <c r="B41" s="428"/>
      <c r="C41" s="428"/>
      <c r="D41" s="742" t="s">
        <v>609</v>
      </c>
      <c r="E41" s="743" t="s">
        <v>584</v>
      </c>
      <c r="F41" s="739" t="s">
        <v>630</v>
      </c>
      <c r="G41" s="25"/>
      <c r="H41" s="25"/>
      <c r="I41" s="25"/>
    </row>
    <row r="42" spans="1:9" ht="38.25" x14ac:dyDescent="0.2">
      <c r="A42" s="25"/>
      <c r="B42" s="428"/>
      <c r="C42" s="428"/>
      <c r="D42" s="742" t="s">
        <v>631</v>
      </c>
      <c r="E42" s="743" t="s">
        <v>584</v>
      </c>
      <c r="F42" s="739" t="s">
        <v>632</v>
      </c>
      <c r="G42" s="25"/>
      <c r="H42" s="25"/>
      <c r="I42" s="25"/>
    </row>
    <row r="43" spans="1:9" x14ac:dyDescent="0.2">
      <c r="A43" s="25"/>
      <c r="B43" s="428"/>
      <c r="C43" s="428"/>
      <c r="D43" s="742" t="s">
        <v>633</v>
      </c>
      <c r="E43" s="743" t="s">
        <v>584</v>
      </c>
      <c r="F43" s="739" t="s">
        <v>634</v>
      </c>
      <c r="G43" s="25"/>
      <c r="H43" s="25"/>
      <c r="I43" s="25"/>
    </row>
    <row r="44" spans="1:9" ht="25.5" x14ac:dyDescent="0.2">
      <c r="A44" s="25"/>
      <c r="B44" s="428"/>
      <c r="C44" s="428"/>
      <c r="D44" s="745" t="s">
        <v>635</v>
      </c>
      <c r="E44" s="743" t="s">
        <v>584</v>
      </c>
      <c r="F44" s="739" t="s">
        <v>636</v>
      </c>
      <c r="G44" s="25"/>
      <c r="H44" s="25"/>
      <c r="I44" s="25"/>
    </row>
    <row r="45" spans="1:9" x14ac:dyDescent="0.2">
      <c r="A45" s="25"/>
      <c r="B45" s="428"/>
      <c r="C45" s="428"/>
      <c r="D45" s="742"/>
      <c r="E45" s="739"/>
      <c r="F45" s="739"/>
      <c r="G45" s="25"/>
      <c r="H45" s="25"/>
      <c r="I45" s="25"/>
    </row>
    <row r="46" spans="1:9" x14ac:dyDescent="0.2">
      <c r="A46" s="25"/>
      <c r="B46" s="428"/>
      <c r="C46" s="428"/>
      <c r="D46" s="742"/>
      <c r="E46" s="739"/>
      <c r="F46" s="739"/>
      <c r="G46" s="25"/>
      <c r="H46" s="25"/>
      <c r="I46" s="25"/>
    </row>
    <row r="47" spans="1:9" x14ac:dyDescent="0.2">
      <c r="A47" s="25"/>
      <c r="B47" s="25"/>
      <c r="C47" s="25"/>
      <c r="D47" s="35" t="s">
        <v>547</v>
      </c>
      <c r="E47" s="35"/>
      <c r="F47" s="35"/>
      <c r="G47" s="25"/>
      <c r="H47" s="25"/>
      <c r="I47" s="25"/>
    </row>
    <row r="48" spans="1:9" x14ac:dyDescent="0.2">
      <c r="A48" s="25"/>
      <c r="B48" s="25"/>
      <c r="C48" s="25"/>
      <c r="D48" s="35"/>
      <c r="E48" s="35"/>
      <c r="F48" s="35"/>
      <c r="G48" s="25"/>
      <c r="H48" s="25"/>
      <c r="I48" s="25"/>
    </row>
    <row r="49" spans="1:9" x14ac:dyDescent="0.2">
      <c r="A49" s="25"/>
      <c r="B49" s="25"/>
      <c r="C49" s="25"/>
      <c r="D49" s="35" t="s">
        <v>526</v>
      </c>
      <c r="E49" s="35"/>
      <c r="F49" s="35"/>
      <c r="G49" s="25"/>
      <c r="H49" s="25"/>
      <c r="I49" s="25"/>
    </row>
    <row r="50" spans="1:9" x14ac:dyDescent="0.2">
      <c r="A50" s="25"/>
      <c r="B50" s="25"/>
      <c r="C50" s="25"/>
      <c r="D50" s="35" t="s">
        <v>527</v>
      </c>
      <c r="E50" s="35"/>
      <c r="F50" s="35"/>
      <c r="G50" s="25"/>
      <c r="H50" s="25"/>
      <c r="I50" s="25"/>
    </row>
    <row r="51" spans="1:9" x14ac:dyDescent="0.2">
      <c r="A51" s="25"/>
      <c r="B51" s="25"/>
      <c r="C51" s="25"/>
      <c r="D51" s="35" t="s">
        <v>528</v>
      </c>
      <c r="E51" s="35"/>
      <c r="F51" s="35"/>
      <c r="G51" s="25"/>
      <c r="H51" s="25"/>
      <c r="I51" s="25"/>
    </row>
    <row r="52" spans="1:9" x14ac:dyDescent="0.2">
      <c r="A52" s="25"/>
      <c r="B52" s="25"/>
      <c r="C52" s="25"/>
      <c r="D52" s="35" t="s">
        <v>529</v>
      </c>
      <c r="E52" s="35"/>
      <c r="F52" s="35"/>
      <c r="G52" s="25"/>
      <c r="H52" s="25"/>
      <c r="I52" s="25"/>
    </row>
    <row r="53" spans="1:9" x14ac:dyDescent="0.2">
      <c r="A53" s="25"/>
      <c r="B53" s="25"/>
      <c r="C53" s="25"/>
      <c r="D53" s="35" t="s">
        <v>530</v>
      </c>
      <c r="E53" s="35"/>
      <c r="F53" s="35"/>
      <c r="G53" s="25"/>
      <c r="H53" s="25"/>
      <c r="I53" s="25"/>
    </row>
    <row r="54" spans="1:9" x14ac:dyDescent="0.2">
      <c r="A54" s="25"/>
      <c r="B54" s="25"/>
      <c r="C54" s="25"/>
      <c r="D54" s="35" t="s">
        <v>531</v>
      </c>
      <c r="E54" s="35"/>
      <c r="F54" s="35"/>
      <c r="G54" s="25"/>
      <c r="H54" s="25"/>
      <c r="I54" s="25"/>
    </row>
    <row r="55" spans="1:9" x14ac:dyDescent="0.2">
      <c r="A55" s="25"/>
      <c r="B55" s="25"/>
      <c r="C55" s="25"/>
      <c r="D55" s="41" t="s">
        <v>532</v>
      </c>
      <c r="E55" s="35"/>
      <c r="F55" s="35"/>
      <c r="G55" s="25"/>
      <c r="H55" s="25"/>
      <c r="I55" s="25"/>
    </row>
    <row r="56" spans="1:9" x14ac:dyDescent="0.2">
      <c r="A56" s="25"/>
      <c r="B56" s="25"/>
      <c r="C56" s="25"/>
      <c r="D56" s="35" t="s">
        <v>533</v>
      </c>
      <c r="E56" s="35"/>
      <c r="F56" s="35"/>
      <c r="G56" s="25"/>
      <c r="H56" s="25"/>
      <c r="I56" s="25"/>
    </row>
    <row r="57" spans="1:9" x14ac:dyDescent="0.2">
      <c r="A57" s="25"/>
      <c r="B57" s="25"/>
      <c r="C57" s="25"/>
      <c r="D57" s="35" t="s">
        <v>534</v>
      </c>
      <c r="E57" s="35"/>
      <c r="F57" s="35"/>
      <c r="G57" s="25"/>
      <c r="H57" s="25"/>
      <c r="I57" s="25"/>
    </row>
    <row r="58" spans="1:9" x14ac:dyDescent="0.2">
      <c r="A58" s="25"/>
      <c r="B58" s="25"/>
      <c r="C58" s="25"/>
      <c r="D58" s="35" t="s">
        <v>535</v>
      </c>
      <c r="E58" s="35"/>
      <c r="F58" s="35"/>
      <c r="G58" s="25"/>
      <c r="H58" s="25"/>
      <c r="I58" s="25"/>
    </row>
    <row r="59" spans="1:9" x14ac:dyDescent="0.2">
      <c r="A59" s="25"/>
      <c r="B59" s="25"/>
      <c r="C59" s="25"/>
      <c r="D59" s="35" t="s">
        <v>536</v>
      </c>
      <c r="E59" s="35"/>
      <c r="F59" s="35"/>
      <c r="G59" s="25"/>
      <c r="H59" s="25"/>
      <c r="I59" s="25"/>
    </row>
    <row r="60" spans="1:9" x14ac:dyDescent="0.2">
      <c r="A60" s="25"/>
      <c r="B60" s="25"/>
      <c r="C60" s="25"/>
      <c r="D60" s="35" t="s">
        <v>537</v>
      </c>
      <c r="E60" s="35"/>
      <c r="F60" s="35"/>
      <c r="G60" s="25"/>
      <c r="H60" s="25"/>
      <c r="I60" s="25"/>
    </row>
    <row r="61" spans="1:9" x14ac:dyDescent="0.2">
      <c r="A61" s="25"/>
      <c r="B61" s="25"/>
      <c r="C61" s="25"/>
      <c r="D61" s="35" t="s">
        <v>538</v>
      </c>
      <c r="E61" s="35"/>
      <c r="F61" s="35"/>
      <c r="G61" s="25"/>
      <c r="H61" s="25"/>
      <c r="I61" s="25"/>
    </row>
    <row r="62" spans="1:9" x14ac:dyDescent="0.2">
      <c r="D62" s="35" t="s">
        <v>539</v>
      </c>
      <c r="E62" s="35"/>
      <c r="F62" s="35"/>
      <c r="G62" s="25"/>
      <c r="H62" s="25"/>
      <c r="I62" s="25"/>
    </row>
    <row r="63" spans="1:9" x14ac:dyDescent="0.2">
      <c r="A63" s="25"/>
      <c r="B63" s="25"/>
      <c r="C63" s="25"/>
      <c r="D63" s="35" t="s">
        <v>540</v>
      </c>
      <c r="E63" s="35"/>
      <c r="F63" s="35"/>
      <c r="G63" s="25"/>
      <c r="H63" s="25"/>
      <c r="I63" s="25"/>
    </row>
    <row r="64" spans="1:9" x14ac:dyDescent="0.2">
      <c r="A64" s="25"/>
      <c r="B64" s="25"/>
      <c r="C64" s="25"/>
      <c r="D64" s="35"/>
      <c r="E64" s="35"/>
      <c r="F64" s="35"/>
      <c r="G64" s="25"/>
      <c r="H64" s="25"/>
      <c r="I64" s="25"/>
    </row>
    <row r="65" spans="1:9" x14ac:dyDescent="0.2">
      <c r="A65" s="25"/>
      <c r="B65" s="25"/>
      <c r="C65" s="25"/>
      <c r="D65" s="35"/>
      <c r="E65" s="35"/>
      <c r="F65" s="35"/>
      <c r="G65" s="25"/>
      <c r="H65" s="25"/>
      <c r="I65" s="25"/>
    </row>
    <row r="66" spans="1:9" x14ac:dyDescent="0.2">
      <c r="A66" s="25"/>
      <c r="B66" s="25"/>
      <c r="C66" s="25"/>
      <c r="D66" s="35" t="s">
        <v>541</v>
      </c>
      <c r="E66" s="35"/>
      <c r="F66" s="35"/>
      <c r="G66" s="25"/>
      <c r="H66" s="25"/>
      <c r="I66" s="25"/>
    </row>
    <row r="67" spans="1:9" x14ac:dyDescent="0.2">
      <c r="A67" s="25"/>
      <c r="B67" s="25"/>
      <c r="C67" s="25"/>
      <c r="D67" s="35" t="s">
        <v>542</v>
      </c>
      <c r="E67" s="35"/>
      <c r="F67" s="35"/>
      <c r="G67" s="25"/>
      <c r="H67" s="25"/>
      <c r="I67" s="25"/>
    </row>
    <row r="68" spans="1:9" x14ac:dyDescent="0.2">
      <c r="A68" s="25"/>
      <c r="B68" s="25"/>
      <c r="C68" s="25"/>
      <c r="D68" s="35" t="s">
        <v>543</v>
      </c>
      <c r="E68" s="35"/>
      <c r="F68" s="35"/>
      <c r="G68" s="25"/>
      <c r="H68" s="25"/>
      <c r="I68" s="25"/>
    </row>
    <row r="69" spans="1:9" x14ac:dyDescent="0.2">
      <c r="A69" s="25"/>
      <c r="B69" s="25"/>
      <c r="C69" s="25"/>
      <c r="D69" s="35" t="s">
        <v>544</v>
      </c>
      <c r="E69" s="35"/>
      <c r="F69" s="35"/>
      <c r="G69" s="25"/>
      <c r="H69" s="25"/>
      <c r="I69" s="25"/>
    </row>
    <row r="70" spans="1:9" x14ac:dyDescent="0.2">
      <c r="A70" s="25"/>
      <c r="B70" s="25"/>
      <c r="C70" s="25"/>
      <c r="D70" s="35" t="s">
        <v>545</v>
      </c>
      <c r="E70" s="35"/>
      <c r="F70" s="35"/>
      <c r="G70" s="25"/>
      <c r="H70" s="25"/>
      <c r="I70" s="25"/>
    </row>
    <row r="71" spans="1:9" x14ac:dyDescent="0.2">
      <c r="A71" s="25"/>
      <c r="B71" s="25"/>
      <c r="C71" s="25"/>
      <c r="D71" s="35"/>
      <c r="E71" s="35"/>
      <c r="F71" s="35"/>
      <c r="G71" s="25"/>
      <c r="H71" s="25"/>
      <c r="I71" s="25"/>
    </row>
    <row r="72" spans="1:9" x14ac:dyDescent="0.2">
      <c r="A72" s="25"/>
      <c r="B72" s="25"/>
      <c r="C72" s="25"/>
      <c r="D72" s="35"/>
      <c r="E72" s="35"/>
      <c r="F72" s="35"/>
      <c r="G72" s="25"/>
      <c r="H72" s="25"/>
      <c r="I72" s="25"/>
    </row>
    <row r="73" spans="1:9" x14ac:dyDescent="0.2">
      <c r="A73" s="25"/>
      <c r="B73" s="25"/>
      <c r="C73" s="25"/>
      <c r="D73" s="35" t="s">
        <v>546</v>
      </c>
      <c r="E73" s="35"/>
      <c r="F73" s="35"/>
      <c r="G73" s="25"/>
      <c r="H73" s="25"/>
      <c r="I73" s="25"/>
    </row>
    <row r="74" spans="1:9" x14ac:dyDescent="0.2">
      <c r="A74" s="25"/>
      <c r="B74" s="25"/>
      <c r="C74" s="25"/>
      <c r="D74" s="35"/>
      <c r="E74" s="35"/>
      <c r="F74" s="35"/>
      <c r="G74" s="25"/>
      <c r="H74" s="25"/>
      <c r="I74" s="25"/>
    </row>
    <row r="75" spans="1:9" x14ac:dyDescent="0.2">
      <c r="A75" s="25"/>
      <c r="B75" s="25"/>
      <c r="C75" s="25"/>
      <c r="D75" s="35" t="s">
        <v>699</v>
      </c>
      <c r="E75" s="35"/>
      <c r="F75" s="35"/>
      <c r="G75" s="25"/>
      <c r="H75" s="25"/>
      <c r="I75" s="25"/>
    </row>
    <row r="76" spans="1:9" x14ac:dyDescent="0.2">
      <c r="A76" s="25"/>
      <c r="B76" s="25"/>
      <c r="C76" s="25"/>
      <c r="D76" s="35" t="s">
        <v>1779</v>
      </c>
      <c r="E76" s="35"/>
      <c r="F76" s="35"/>
      <c r="G76" s="25"/>
      <c r="H76" s="25"/>
      <c r="I76" s="25"/>
    </row>
    <row r="77" spans="1:9" x14ac:dyDescent="0.2">
      <c r="A77" s="25"/>
      <c r="B77" s="25"/>
      <c r="C77" s="25"/>
      <c r="D77" s="25"/>
      <c r="E77" s="25"/>
      <c r="F77" s="25"/>
      <c r="G77" s="25"/>
      <c r="H77" s="25"/>
      <c r="I77" s="25"/>
    </row>
    <row r="78" spans="1:9" x14ac:dyDescent="0.2">
      <c r="A78" s="25"/>
      <c r="B78" s="25"/>
      <c r="C78" s="25"/>
      <c r="D78" s="25"/>
      <c r="E78" s="25"/>
      <c r="F78" s="25"/>
      <c r="G78" s="25"/>
      <c r="H78" s="25"/>
      <c r="I78" s="25"/>
    </row>
    <row r="79" spans="1:9" x14ac:dyDescent="0.2">
      <c r="A79" s="25"/>
      <c r="B79" s="25"/>
      <c r="C79" s="25"/>
      <c r="D79" s="25"/>
      <c r="E79" s="25"/>
      <c r="F79" s="25"/>
      <c r="G79" s="25"/>
      <c r="H79" s="25"/>
      <c r="I79" s="25"/>
    </row>
    <row r="80" spans="1:9" x14ac:dyDescent="0.2">
      <c r="A80" s="25"/>
      <c r="B80" s="25"/>
      <c r="C80" s="25"/>
      <c r="D80" s="25"/>
      <c r="E80" s="25"/>
      <c r="F80" s="25"/>
      <c r="G80" s="25"/>
      <c r="H80" s="25"/>
    </row>
    <row r="81" spans="1:8" x14ac:dyDescent="0.2">
      <c r="A81" s="25"/>
      <c r="B81" s="25"/>
      <c r="C81" s="25"/>
      <c r="D81" s="25"/>
      <c r="E81" s="25"/>
      <c r="F81" s="25"/>
      <c r="G81" s="25"/>
      <c r="H81" s="25"/>
    </row>
  </sheetData>
  <sheetProtection password="D809" sheet="1" objects="1" scenarios="1" selectLockedCells="1"/>
  <phoneticPr fontId="15" type="noConversion"/>
  <pageMargins left="0.75" right="0.75" top="1" bottom="1" header="0.5" footer="0.5"/>
  <pageSetup orientation="portrait" horizontalDpi="0" verticalDpi="0"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pageSetUpPr fitToPage="1"/>
  </sheetPr>
  <dimension ref="A1:U51"/>
  <sheetViews>
    <sheetView showRowColHeaders="0" workbookViewId="0">
      <selection activeCell="D19" sqref="D19"/>
    </sheetView>
  </sheetViews>
  <sheetFormatPr defaultRowHeight="12.75" x14ac:dyDescent="0.2"/>
  <cols>
    <col min="1" max="1" width="14" customWidth="1"/>
    <col min="2" max="2" width="20.5703125" customWidth="1"/>
    <col min="3" max="3" width="11" customWidth="1"/>
  </cols>
  <sheetData>
    <row r="1" spans="1:21" ht="15.75" customHeight="1" x14ac:dyDescent="0.2">
      <c r="A1" s="23"/>
      <c r="B1" s="25"/>
      <c r="C1" s="25"/>
      <c r="D1" s="25"/>
      <c r="E1" s="25"/>
      <c r="F1" s="25"/>
      <c r="G1" s="25"/>
      <c r="H1" s="25"/>
      <c r="I1" s="25"/>
      <c r="J1" s="25"/>
      <c r="K1" s="25"/>
      <c r="L1" s="25"/>
      <c r="M1" s="25"/>
      <c r="N1" s="25"/>
      <c r="O1" s="25"/>
      <c r="P1" s="25"/>
      <c r="Q1" s="25"/>
      <c r="R1" s="25"/>
      <c r="S1" s="25"/>
      <c r="T1" s="25"/>
      <c r="U1" s="25"/>
    </row>
    <row r="2" spans="1:21" ht="13.5" thickBot="1" x14ac:dyDescent="0.25">
      <c r="A2" s="26"/>
      <c r="B2" s="25"/>
      <c r="C2" s="73" t="s">
        <v>1996</v>
      </c>
      <c r="D2" s="73" t="s">
        <v>1997</v>
      </c>
      <c r="E2" s="25"/>
      <c r="F2" s="25"/>
      <c r="G2" s="25"/>
      <c r="H2" s="25"/>
      <c r="I2" s="25"/>
      <c r="J2" s="25"/>
      <c r="K2" s="25"/>
      <c r="L2" s="25"/>
      <c r="M2" s="25"/>
      <c r="N2" s="25"/>
      <c r="O2" s="25"/>
      <c r="P2" s="25"/>
      <c r="Q2" s="25"/>
      <c r="R2" s="25"/>
      <c r="S2" s="25"/>
      <c r="T2" s="25"/>
      <c r="U2" s="25"/>
    </row>
    <row r="3" spans="1:21" ht="16.5" thickBot="1" x14ac:dyDescent="0.3">
      <c r="A3" s="25"/>
      <c r="B3" s="42" t="s">
        <v>2085</v>
      </c>
      <c r="C3" s="368">
        <v>8</v>
      </c>
      <c r="D3" s="368">
        <v>0</v>
      </c>
      <c r="E3" s="25">
        <f>(C3*12)+D3</f>
        <v>96</v>
      </c>
      <c r="F3" s="25">
        <f>(E3*E3)</f>
        <v>9216</v>
      </c>
      <c r="G3" s="25"/>
      <c r="H3" s="25"/>
      <c r="I3" s="25"/>
      <c r="J3" s="25"/>
      <c r="K3" s="25"/>
      <c r="L3" s="25"/>
      <c r="M3" s="25"/>
      <c r="N3" s="25"/>
      <c r="O3" s="25"/>
      <c r="P3" s="25"/>
      <c r="Q3" s="25"/>
      <c r="R3" s="25"/>
      <c r="S3" s="25"/>
      <c r="T3" s="25"/>
      <c r="U3" s="25"/>
    </row>
    <row r="4" spans="1:21" ht="16.5" thickBot="1" x14ac:dyDescent="0.3">
      <c r="A4" s="25"/>
      <c r="B4" s="42" t="s">
        <v>2086</v>
      </c>
      <c r="C4" s="368">
        <v>5</v>
      </c>
      <c r="D4" s="368">
        <v>2</v>
      </c>
      <c r="E4" s="25">
        <f>(C4*12)+D4</f>
        <v>62</v>
      </c>
      <c r="F4" s="25">
        <f>(E4*E4)</f>
        <v>3844</v>
      </c>
      <c r="G4" s="25"/>
      <c r="H4" s="25"/>
      <c r="I4" s="25"/>
      <c r="J4" s="25"/>
      <c r="K4" s="25"/>
      <c r="L4" s="25"/>
      <c r="M4" s="25"/>
      <c r="N4" s="25"/>
      <c r="O4" s="25"/>
      <c r="P4" s="25"/>
      <c r="Q4" s="25"/>
      <c r="R4" s="25"/>
      <c r="S4" s="25"/>
      <c r="T4" s="25"/>
      <c r="U4" s="25"/>
    </row>
    <row r="5" spans="1:21" x14ac:dyDescent="0.2">
      <c r="A5" s="25"/>
      <c r="B5" s="42"/>
      <c r="C5" s="4"/>
      <c r="D5" s="25"/>
      <c r="E5" s="25"/>
      <c r="F5" s="25"/>
      <c r="G5" s="25"/>
      <c r="H5" s="25"/>
      <c r="I5" s="25"/>
      <c r="J5" s="25"/>
      <c r="K5" s="25"/>
      <c r="L5" s="25"/>
      <c r="M5" s="25"/>
      <c r="N5" s="25"/>
      <c r="O5" s="25"/>
      <c r="P5" s="25"/>
      <c r="Q5" s="25"/>
      <c r="R5" s="25"/>
      <c r="S5" s="25"/>
      <c r="T5" s="25"/>
      <c r="U5" s="25"/>
    </row>
    <row r="6" spans="1:21" x14ac:dyDescent="0.2">
      <c r="A6" s="25"/>
      <c r="B6" s="42" t="s">
        <v>2087</v>
      </c>
      <c r="C6" s="774">
        <f>(($C$3*12)+D3)/(($C$4*12)+D4)</f>
        <v>1.5483870967741935</v>
      </c>
      <c r="D6" s="25"/>
      <c r="E6" s="25"/>
      <c r="F6" s="25"/>
      <c r="G6" s="25"/>
      <c r="H6" s="25"/>
      <c r="I6" s="25"/>
      <c r="J6" s="25"/>
      <c r="K6" s="25"/>
      <c r="L6" s="25"/>
      <c r="M6" s="25"/>
      <c r="N6" s="25"/>
      <c r="O6" s="25"/>
      <c r="P6" s="25"/>
      <c r="Q6" s="25"/>
      <c r="R6" s="25"/>
      <c r="S6" s="25"/>
      <c r="T6" s="25"/>
      <c r="U6" s="25"/>
    </row>
    <row r="7" spans="1:21" x14ac:dyDescent="0.2">
      <c r="A7" s="25"/>
      <c r="B7" s="51" t="s">
        <v>461</v>
      </c>
      <c r="C7" s="586">
        <f>90-DEGREES(ATAN2(E4,((SQRT(F3-F4)))))</f>
        <v>40.228184728061095</v>
      </c>
      <c r="D7" s="25" t="s">
        <v>2108</v>
      </c>
      <c r="E7" s="25"/>
      <c r="F7" s="25"/>
      <c r="G7" s="25"/>
      <c r="H7" s="25"/>
      <c r="I7" s="25"/>
      <c r="J7" s="25"/>
      <c r="K7" s="25"/>
      <c r="L7" s="25"/>
      <c r="M7" s="25"/>
      <c r="N7" s="25"/>
      <c r="O7" s="25"/>
      <c r="P7" s="25"/>
      <c r="Q7" s="25"/>
      <c r="R7" s="25"/>
      <c r="S7" s="25"/>
      <c r="T7" s="25"/>
      <c r="U7" s="25"/>
    </row>
    <row r="8" spans="1:21" ht="13.5" thickBot="1" x14ac:dyDescent="0.25">
      <c r="A8" s="25"/>
      <c r="B8" s="25"/>
      <c r="D8" s="25"/>
      <c r="E8" s="25"/>
      <c r="F8" s="25"/>
      <c r="G8" s="25"/>
      <c r="H8" s="25"/>
      <c r="I8" s="25"/>
      <c r="J8" s="25"/>
      <c r="K8" s="25"/>
      <c r="L8" s="25"/>
      <c r="M8" s="25"/>
      <c r="N8" s="25"/>
      <c r="O8" s="25"/>
      <c r="P8" s="25"/>
      <c r="Q8" s="25"/>
      <c r="R8" s="25"/>
      <c r="S8" s="25"/>
      <c r="T8" s="25"/>
      <c r="U8" s="25"/>
    </row>
    <row r="9" spans="1:21" ht="16.5" thickBot="1" x14ac:dyDescent="0.25">
      <c r="A9" s="25"/>
      <c r="B9" s="42" t="s">
        <v>2090</v>
      </c>
      <c r="C9" s="715">
        <v>10000</v>
      </c>
      <c r="D9" s="25" t="s">
        <v>2014</v>
      </c>
      <c r="E9" s="25"/>
      <c r="F9" s="25"/>
      <c r="G9" s="25"/>
      <c r="H9" s="25"/>
      <c r="I9" s="25"/>
      <c r="J9" s="25"/>
      <c r="K9" s="25"/>
      <c r="L9" s="70"/>
      <c r="M9" s="70"/>
      <c r="N9" s="25"/>
      <c r="O9" s="25"/>
      <c r="P9" s="25"/>
      <c r="Q9" s="25"/>
      <c r="R9" s="25"/>
      <c r="S9" s="25"/>
      <c r="T9" s="25"/>
      <c r="U9" s="25"/>
    </row>
    <row r="10" spans="1:21" ht="13.5" thickBot="1" x14ac:dyDescent="0.25">
      <c r="A10" s="25"/>
      <c r="B10" s="25"/>
      <c r="D10" s="25"/>
      <c r="E10" s="25"/>
      <c r="F10" s="25"/>
      <c r="G10" s="25"/>
      <c r="H10" s="25"/>
      <c r="I10" s="25"/>
      <c r="J10" s="25"/>
      <c r="K10" s="25"/>
      <c r="L10" s="70"/>
      <c r="M10" s="70"/>
      <c r="N10" s="25"/>
      <c r="O10" s="25"/>
      <c r="P10" s="25"/>
      <c r="Q10" s="25"/>
      <c r="R10" s="25"/>
      <c r="S10" s="25"/>
      <c r="T10" s="25"/>
      <c r="U10" s="25"/>
    </row>
    <row r="11" spans="1:21" ht="16.5" thickBot="1" x14ac:dyDescent="0.25">
      <c r="A11" s="25"/>
      <c r="B11" s="42" t="s">
        <v>2091</v>
      </c>
      <c r="C11" s="587">
        <f>($C$9/2)*C6</f>
        <v>7741.9354838709678</v>
      </c>
      <c r="D11" s="25" t="s">
        <v>2092</v>
      </c>
      <c r="E11" s="25"/>
      <c r="F11" s="25"/>
      <c r="G11" s="25"/>
      <c r="H11" s="25"/>
      <c r="I11" s="25"/>
      <c r="J11" s="25"/>
      <c r="K11" s="25"/>
      <c r="L11" s="369"/>
      <c r="M11" s="70"/>
      <c r="N11" s="25"/>
      <c r="O11" s="25"/>
      <c r="P11" s="25"/>
      <c r="Q11" s="25"/>
      <c r="R11" s="25"/>
      <c r="S11" s="25"/>
      <c r="T11" s="25"/>
      <c r="U11" s="25"/>
    </row>
    <row r="12" spans="1:21" x14ac:dyDescent="0.2">
      <c r="A12" s="25"/>
      <c r="B12" s="25"/>
      <c r="C12" s="25"/>
      <c r="D12" s="25"/>
      <c r="E12" s="25"/>
      <c r="F12" s="25"/>
      <c r="G12" s="25"/>
      <c r="H12" s="25"/>
      <c r="I12" s="25"/>
      <c r="J12" s="25"/>
      <c r="K12" s="25"/>
      <c r="L12" s="369"/>
      <c r="M12" s="70"/>
      <c r="N12" s="25"/>
      <c r="O12" s="25"/>
      <c r="P12" s="25"/>
      <c r="Q12" s="25"/>
      <c r="R12" s="25"/>
      <c r="S12" s="25"/>
      <c r="T12" s="25"/>
      <c r="U12" s="25"/>
    </row>
    <row r="13" spans="1:21" x14ac:dyDescent="0.2">
      <c r="A13" s="25"/>
      <c r="B13" s="25"/>
      <c r="C13" s="25"/>
      <c r="D13" s="25"/>
      <c r="E13" s="25"/>
      <c r="F13" s="907" t="str">
        <f>IF(MASTERSWITCH=1,"EVALUATION PERIOD EXPIRED!","")</f>
        <v/>
      </c>
      <c r="G13" s="907"/>
      <c r="H13" s="907"/>
      <c r="I13" s="25"/>
      <c r="J13" s="25"/>
      <c r="K13" s="25"/>
      <c r="L13" s="369"/>
      <c r="M13" s="370"/>
      <c r="N13" s="25"/>
      <c r="O13" s="25"/>
      <c r="P13" s="25"/>
      <c r="Q13" s="25"/>
      <c r="R13" s="25"/>
      <c r="S13" s="25"/>
      <c r="T13" s="25"/>
      <c r="U13" s="25"/>
    </row>
    <row r="14" spans="1:21" x14ac:dyDescent="0.2">
      <c r="A14" s="589" t="s">
        <v>1305</v>
      </c>
      <c r="C14" s="25"/>
      <c r="D14" s="25"/>
      <c r="E14" s="25"/>
      <c r="F14" s="907" t="str">
        <f>IF(MASTERSWITCH=1,"PLEASE PURCHASE LICENSE TO","")</f>
        <v/>
      </c>
      <c r="G14" s="907"/>
      <c r="H14" s="907"/>
      <c r="I14" s="25"/>
      <c r="J14" s="25"/>
      <c r="K14" s="25"/>
      <c r="L14" s="70"/>
      <c r="M14" s="70"/>
      <c r="N14" s="25"/>
      <c r="O14" s="25"/>
      <c r="P14" s="25"/>
      <c r="Q14" s="25"/>
      <c r="R14" s="25"/>
      <c r="S14" s="25"/>
      <c r="T14" s="25"/>
      <c r="U14" s="25"/>
    </row>
    <row r="15" spans="1:21" ht="15.75" x14ac:dyDescent="0.25">
      <c r="A15" s="25"/>
      <c r="B15" s="908" t="s">
        <v>374</v>
      </c>
      <c r="C15" s="908"/>
      <c r="D15" s="908"/>
      <c r="E15" s="25"/>
      <c r="F15" s="907" t="str">
        <f>IF(MASTERSWITCH=1,"CONTINUE USING THIS PROGRAM","")</f>
        <v/>
      </c>
      <c r="G15" s="907"/>
      <c r="H15" s="907"/>
      <c r="I15" s="25"/>
      <c r="J15" s="25"/>
      <c r="K15" s="25"/>
      <c r="L15" s="70"/>
      <c r="M15" s="70"/>
      <c r="N15" s="25"/>
      <c r="O15" s="25"/>
      <c r="P15" s="25"/>
      <c r="Q15" s="25"/>
      <c r="R15" s="25"/>
      <c r="S15" s="25"/>
      <c r="T15" s="25"/>
      <c r="U15" s="25"/>
    </row>
    <row r="16" spans="1:21" ht="6.75" customHeight="1" x14ac:dyDescent="0.2">
      <c r="A16" s="234"/>
      <c r="B16" s="234"/>
      <c r="C16" s="234"/>
      <c r="D16" s="234"/>
      <c r="E16" s="234"/>
      <c r="F16" s="234"/>
      <c r="G16" s="234"/>
      <c r="H16" s="234"/>
      <c r="I16" s="234"/>
      <c r="J16" s="234"/>
      <c r="K16" s="25"/>
      <c r="L16" s="369"/>
      <c r="M16" s="70"/>
      <c r="N16" s="25"/>
      <c r="O16" s="25"/>
      <c r="P16" s="25"/>
      <c r="Q16" s="25"/>
      <c r="R16" s="25"/>
      <c r="S16" s="25"/>
      <c r="T16" s="25"/>
      <c r="U16" s="25"/>
    </row>
    <row r="17" spans="1:21" x14ac:dyDescent="0.2">
      <c r="A17" s="25"/>
      <c r="B17" s="25"/>
      <c r="C17" s="25"/>
      <c r="D17" s="25"/>
      <c r="E17" s="25"/>
      <c r="F17" s="25"/>
      <c r="G17" s="25"/>
      <c r="H17" s="25"/>
      <c r="I17" s="25"/>
      <c r="J17" s="25"/>
      <c r="K17" s="25"/>
      <c r="L17" s="369"/>
      <c r="M17" s="70"/>
      <c r="N17" s="25"/>
      <c r="O17" s="25"/>
      <c r="P17" s="25"/>
      <c r="Q17" s="25"/>
      <c r="R17" s="25"/>
      <c r="S17" s="25"/>
      <c r="T17" s="25"/>
      <c r="U17" s="25"/>
    </row>
    <row r="18" spans="1:21" x14ac:dyDescent="0.2">
      <c r="A18" s="25"/>
      <c r="B18" s="25"/>
      <c r="C18" s="25"/>
      <c r="D18" s="25"/>
      <c r="E18" s="25"/>
      <c r="F18" s="25"/>
      <c r="G18" s="25"/>
      <c r="H18" s="25"/>
      <c r="I18" s="25"/>
      <c r="J18" s="25"/>
      <c r="K18" s="25"/>
      <c r="L18" s="70"/>
      <c r="M18" s="70"/>
      <c r="N18" s="25"/>
      <c r="O18" s="25"/>
      <c r="P18" s="25"/>
      <c r="Q18" s="25"/>
      <c r="R18" s="25"/>
      <c r="S18" s="25"/>
      <c r="T18" s="25"/>
      <c r="U18" s="25"/>
    </row>
    <row r="19" spans="1:21" ht="15.75" x14ac:dyDescent="0.25">
      <c r="B19" s="839" t="s">
        <v>1953</v>
      </c>
      <c r="C19" s="839"/>
      <c r="D19" s="716">
        <v>8</v>
      </c>
      <c r="E19" s="25"/>
      <c r="F19" s="25"/>
      <c r="G19" s="25"/>
      <c r="H19" s="25"/>
      <c r="I19" s="25"/>
      <c r="J19" s="25"/>
      <c r="K19" s="25"/>
      <c r="L19" s="369"/>
      <c r="M19" s="371"/>
      <c r="N19" s="25"/>
      <c r="O19" s="25"/>
      <c r="P19" s="25"/>
      <c r="Q19" s="25"/>
      <c r="R19" s="25"/>
      <c r="S19" s="25"/>
      <c r="T19" s="25"/>
      <c r="U19" s="25"/>
    </row>
    <row r="20" spans="1:21" ht="13.5" thickBot="1" x14ac:dyDescent="0.25">
      <c r="A20" s="25"/>
      <c r="C20" s="25"/>
      <c r="E20" s="25"/>
      <c r="F20" s="25"/>
      <c r="G20" s="25"/>
      <c r="H20" s="25"/>
      <c r="I20" s="25"/>
      <c r="J20" s="25"/>
      <c r="K20" s="25"/>
      <c r="L20" s="70"/>
      <c r="M20" s="70"/>
      <c r="N20" s="25"/>
      <c r="O20" s="25"/>
      <c r="P20" s="25"/>
      <c r="Q20" s="25"/>
      <c r="R20" s="25"/>
      <c r="S20" s="25"/>
      <c r="T20" s="25"/>
      <c r="U20" s="25"/>
    </row>
    <row r="21" spans="1:21" ht="16.5" thickBot="1" x14ac:dyDescent="0.25">
      <c r="A21" s="25"/>
      <c r="B21" s="42" t="s">
        <v>1606</v>
      </c>
      <c r="C21" s="715">
        <v>10000</v>
      </c>
      <c r="D21" s="70" t="s">
        <v>2014</v>
      </c>
      <c r="E21" s="25"/>
      <c r="F21" s="25"/>
      <c r="G21" s="25"/>
      <c r="H21" s="25"/>
      <c r="I21" s="25"/>
      <c r="J21" s="25"/>
      <c r="K21" s="25"/>
      <c r="L21" s="70"/>
      <c r="M21" s="70"/>
      <c r="N21" s="25"/>
      <c r="O21" s="25"/>
      <c r="P21" s="25"/>
      <c r="Q21" s="25"/>
      <c r="R21" s="25"/>
      <c r="S21" s="25"/>
      <c r="T21" s="25"/>
      <c r="U21" s="25"/>
    </row>
    <row r="22" spans="1:21" x14ac:dyDescent="0.2">
      <c r="A22" s="25"/>
      <c r="B22" s="25"/>
      <c r="C22" s="25"/>
      <c r="D22" s="25"/>
      <c r="E22" s="25"/>
      <c r="F22" s="25"/>
      <c r="G22" s="25"/>
      <c r="H22" s="25"/>
      <c r="I22" s="25"/>
      <c r="J22" s="25"/>
      <c r="K22" s="25"/>
      <c r="L22" s="369"/>
      <c r="M22" s="70"/>
      <c r="N22" s="25"/>
      <c r="O22" s="25"/>
      <c r="P22" s="25"/>
      <c r="Q22" s="25"/>
      <c r="R22" s="25"/>
      <c r="S22" s="25"/>
      <c r="T22" s="25"/>
      <c r="U22" s="25"/>
    </row>
    <row r="23" spans="1:21" ht="13.5" thickBot="1" x14ac:dyDescent="0.25">
      <c r="A23" s="25"/>
      <c r="B23" s="25"/>
      <c r="C23" s="25"/>
      <c r="E23" s="25"/>
      <c r="F23" s="25"/>
      <c r="G23" s="25"/>
      <c r="H23" s="25"/>
      <c r="I23" s="25"/>
      <c r="J23" s="25"/>
      <c r="K23" s="25"/>
      <c r="L23" s="369"/>
      <c r="M23" s="70"/>
      <c r="N23" s="25"/>
      <c r="O23" s="25"/>
      <c r="P23" s="25"/>
      <c r="Q23" s="25"/>
      <c r="R23" s="25"/>
      <c r="S23" s="25"/>
      <c r="T23" s="25"/>
      <c r="U23" s="25"/>
    </row>
    <row r="24" spans="1:21" ht="13.5" thickBot="1" x14ac:dyDescent="0.25">
      <c r="A24" s="25"/>
      <c r="B24" s="51" t="s">
        <v>2087</v>
      </c>
      <c r="C24" s="588">
        <f>LOOKUP(D19,datapage!A6:A23,datapage!C6:C23)</f>
        <v>1.5549999999999999</v>
      </c>
      <c r="D24" s="25"/>
      <c r="E24" s="25"/>
      <c r="F24" s="25"/>
      <c r="G24" s="25"/>
      <c r="H24" s="25"/>
      <c r="I24" s="25"/>
      <c r="J24" s="25"/>
      <c r="K24" s="25"/>
      <c r="L24" s="70"/>
      <c r="M24" s="70"/>
      <c r="N24" s="25"/>
      <c r="O24" s="25"/>
      <c r="P24" s="25"/>
      <c r="Q24" s="25"/>
      <c r="R24" s="25"/>
      <c r="S24" s="25"/>
      <c r="T24" s="25"/>
      <c r="U24" s="25"/>
    </row>
    <row r="25" spans="1:21" ht="16.5" thickBot="1" x14ac:dyDescent="0.3">
      <c r="A25" s="25"/>
      <c r="B25" s="51" t="s">
        <v>2091</v>
      </c>
      <c r="C25" s="587">
        <f>(C21/2)*C24</f>
        <v>7775</v>
      </c>
      <c r="D25" s="70" t="s">
        <v>2092</v>
      </c>
      <c r="E25" s="25"/>
      <c r="F25" s="25"/>
      <c r="G25" s="25"/>
      <c r="H25" s="25"/>
      <c r="I25" s="25"/>
      <c r="J25" s="25"/>
      <c r="K25" s="25"/>
      <c r="L25" s="369"/>
      <c r="M25" s="372"/>
      <c r="N25" s="25"/>
      <c r="O25" s="25"/>
      <c r="P25" s="25"/>
      <c r="Q25" s="25"/>
      <c r="R25" s="25"/>
      <c r="S25" s="25"/>
      <c r="T25" s="25"/>
      <c r="U25" s="25"/>
    </row>
    <row r="26" spans="1:21" x14ac:dyDescent="0.2">
      <c r="A26" s="25"/>
      <c r="B26" s="25"/>
      <c r="C26" s="25"/>
      <c r="D26" s="25"/>
      <c r="E26" s="25"/>
      <c r="F26" s="25"/>
      <c r="G26" s="25"/>
      <c r="H26" s="25"/>
      <c r="I26" s="25"/>
      <c r="J26" s="25"/>
      <c r="K26" s="25"/>
      <c r="L26" s="70"/>
      <c r="M26" s="70"/>
      <c r="N26" s="25"/>
      <c r="O26" s="25"/>
      <c r="P26" s="25"/>
      <c r="Q26" s="25"/>
      <c r="R26" s="25"/>
      <c r="S26" s="25"/>
      <c r="T26" s="25"/>
      <c r="U26" s="25"/>
    </row>
    <row r="27" spans="1:21" x14ac:dyDescent="0.2">
      <c r="A27" s="25"/>
      <c r="B27" s="25"/>
      <c r="C27" s="25"/>
      <c r="D27" s="25"/>
      <c r="E27" s="25"/>
      <c r="F27" s="25"/>
      <c r="G27" s="25"/>
      <c r="H27" s="25"/>
      <c r="I27" s="25"/>
      <c r="J27" s="25"/>
      <c r="K27" s="25"/>
      <c r="L27" s="70"/>
      <c r="M27" s="70"/>
      <c r="N27" s="25"/>
      <c r="O27" s="25"/>
      <c r="P27" s="25"/>
      <c r="Q27" s="25"/>
      <c r="R27" s="25"/>
      <c r="S27" s="25"/>
      <c r="T27" s="25"/>
      <c r="U27" s="25"/>
    </row>
    <row r="28" spans="1:21" x14ac:dyDescent="0.2">
      <c r="A28" s="25"/>
      <c r="B28" s="25"/>
      <c r="C28" s="25"/>
      <c r="D28" s="25"/>
      <c r="E28" s="25"/>
      <c r="F28" s="25"/>
      <c r="G28" s="25"/>
      <c r="H28" s="25"/>
      <c r="I28" s="25"/>
      <c r="J28" s="25"/>
      <c r="K28" s="25"/>
      <c r="L28" s="25"/>
      <c r="M28" s="25"/>
      <c r="N28" s="25"/>
      <c r="O28" s="25"/>
      <c r="P28" s="25"/>
      <c r="Q28" s="25"/>
      <c r="R28" s="25"/>
      <c r="S28" s="25"/>
      <c r="T28" s="25"/>
      <c r="U28" s="25"/>
    </row>
    <row r="29" spans="1:21" x14ac:dyDescent="0.2">
      <c r="A29" s="633"/>
      <c r="B29" s="25"/>
      <c r="C29" s="25"/>
      <c r="D29" s="25"/>
      <c r="E29" s="25"/>
      <c r="F29" s="25"/>
      <c r="G29" s="25"/>
      <c r="H29" s="25"/>
      <c r="I29" s="25"/>
      <c r="J29" s="25"/>
      <c r="K29" s="25"/>
      <c r="L29" s="25"/>
      <c r="M29" s="25"/>
      <c r="N29" s="25"/>
      <c r="O29" s="25"/>
      <c r="P29" s="25"/>
      <c r="Q29" s="25"/>
      <c r="R29" s="25"/>
      <c r="S29" s="25"/>
      <c r="T29" s="25"/>
      <c r="U29" s="25"/>
    </row>
    <row r="30" spans="1:21" ht="6.75" customHeight="1" x14ac:dyDescent="0.2">
      <c r="A30" s="234"/>
      <c r="B30" s="234"/>
      <c r="C30" s="234"/>
      <c r="D30" s="234"/>
      <c r="E30" s="234"/>
      <c r="F30" s="234"/>
      <c r="G30" s="234"/>
      <c r="H30" s="234"/>
      <c r="I30" s="234"/>
      <c r="J30" s="234"/>
      <c r="K30" s="25"/>
      <c r="L30" s="25"/>
      <c r="M30" s="25"/>
      <c r="N30" s="25"/>
      <c r="O30" s="25"/>
      <c r="P30" s="25"/>
      <c r="Q30" s="25"/>
      <c r="R30" s="25"/>
      <c r="S30" s="25"/>
      <c r="T30" s="25"/>
      <c r="U30" s="25"/>
    </row>
    <row r="31" spans="1:21" x14ac:dyDescent="0.2">
      <c r="A31" s="25"/>
      <c r="B31" s="25"/>
      <c r="C31" s="25"/>
      <c r="D31" s="25"/>
      <c r="E31" s="25"/>
      <c r="F31" s="25"/>
      <c r="G31" s="25"/>
      <c r="H31" s="25"/>
      <c r="I31" s="25"/>
      <c r="J31" s="25"/>
      <c r="K31" s="25"/>
      <c r="L31" s="25"/>
      <c r="M31" s="25"/>
      <c r="N31" s="25"/>
      <c r="O31" s="25"/>
      <c r="P31" s="25"/>
      <c r="Q31" s="25"/>
      <c r="R31" s="25"/>
      <c r="S31" s="25"/>
      <c r="T31" s="25"/>
      <c r="U31" s="25"/>
    </row>
    <row r="32" spans="1:21" x14ac:dyDescent="0.2">
      <c r="A32" s="25"/>
      <c r="B32" s="25"/>
      <c r="C32" s="25"/>
      <c r="D32" s="25"/>
      <c r="E32" s="25"/>
      <c r="F32" s="25"/>
      <c r="G32" s="25"/>
      <c r="H32" s="25"/>
      <c r="I32" s="25"/>
      <c r="J32" s="25"/>
      <c r="K32" s="25"/>
      <c r="L32" s="25"/>
      <c r="M32" s="25"/>
      <c r="N32" s="25"/>
      <c r="O32" s="25"/>
      <c r="P32" s="25"/>
      <c r="Q32" s="25"/>
      <c r="R32" s="25"/>
      <c r="S32" s="25"/>
      <c r="T32" s="25"/>
      <c r="U32" s="25"/>
    </row>
    <row r="33" spans="1:21" x14ac:dyDescent="0.2">
      <c r="A33" s="25"/>
      <c r="B33" s="25"/>
      <c r="C33" s="25"/>
      <c r="D33" s="25"/>
      <c r="E33" s="25"/>
      <c r="F33" s="25"/>
      <c r="G33" s="25"/>
      <c r="H33" s="25"/>
      <c r="I33" s="25"/>
      <c r="J33" s="25"/>
      <c r="K33" s="25"/>
      <c r="L33" s="25"/>
      <c r="M33" s="25"/>
      <c r="N33" s="25"/>
      <c r="O33" s="25"/>
      <c r="P33" s="25"/>
      <c r="Q33" s="25"/>
      <c r="R33" s="25"/>
      <c r="S33" s="25"/>
      <c r="T33" s="25"/>
      <c r="U33" s="25"/>
    </row>
    <row r="34" spans="1:21" x14ac:dyDescent="0.2">
      <c r="A34" s="25"/>
      <c r="B34" s="25"/>
      <c r="C34" s="25"/>
      <c r="D34" s="25"/>
      <c r="E34" s="25"/>
      <c r="F34" s="25"/>
      <c r="G34" s="25"/>
      <c r="H34" s="25"/>
      <c r="I34" s="25"/>
      <c r="J34" s="25"/>
      <c r="K34" s="25"/>
      <c r="L34" s="25"/>
      <c r="M34" s="25"/>
      <c r="N34" s="25"/>
      <c r="O34" s="25"/>
      <c r="P34" s="25"/>
      <c r="Q34" s="25"/>
      <c r="R34" s="25"/>
      <c r="S34" s="25"/>
      <c r="T34" s="25"/>
      <c r="U34" s="25"/>
    </row>
    <row r="35" spans="1:21" x14ac:dyDescent="0.2">
      <c r="A35" s="25"/>
      <c r="B35" s="25"/>
      <c r="C35" s="25"/>
      <c r="D35" s="25"/>
      <c r="E35" s="25"/>
      <c r="F35" s="25"/>
      <c r="G35" s="25"/>
      <c r="H35" s="25"/>
      <c r="I35" s="25"/>
      <c r="J35" s="25"/>
      <c r="K35" s="25"/>
      <c r="L35" s="25"/>
      <c r="M35" s="25"/>
      <c r="N35" s="25"/>
      <c r="O35" s="25"/>
      <c r="P35" s="25"/>
      <c r="Q35" s="25"/>
      <c r="R35" s="25"/>
      <c r="S35" s="25"/>
      <c r="T35" s="25"/>
      <c r="U35" s="25"/>
    </row>
    <row r="36" spans="1:21" x14ac:dyDescent="0.2">
      <c r="A36" s="25"/>
      <c r="B36" s="25"/>
      <c r="C36" s="25"/>
      <c r="D36" s="25"/>
      <c r="E36" s="25"/>
      <c r="F36" s="25"/>
      <c r="G36" s="25"/>
      <c r="H36" s="25"/>
      <c r="I36" s="25"/>
      <c r="J36" s="25"/>
      <c r="K36" s="25"/>
      <c r="L36" s="25"/>
      <c r="M36" s="25"/>
      <c r="N36" s="25"/>
      <c r="O36" s="25"/>
      <c r="P36" s="25"/>
      <c r="Q36" s="25"/>
      <c r="R36" s="25"/>
      <c r="S36" s="25"/>
      <c r="T36" s="25"/>
      <c r="U36" s="25"/>
    </row>
    <row r="37" spans="1:21" x14ac:dyDescent="0.2">
      <c r="A37" s="25"/>
      <c r="B37" s="25"/>
      <c r="C37" s="25"/>
      <c r="D37" s="25"/>
      <c r="E37" s="25"/>
      <c r="F37" s="25"/>
      <c r="G37" s="25"/>
      <c r="H37" s="25"/>
      <c r="I37" s="25"/>
      <c r="J37" s="25"/>
      <c r="K37" s="25"/>
      <c r="L37" s="25"/>
      <c r="M37" s="25"/>
      <c r="N37" s="25"/>
      <c r="O37" s="25"/>
      <c r="P37" s="25"/>
      <c r="Q37" s="25"/>
      <c r="R37" s="25"/>
      <c r="S37" s="25"/>
      <c r="T37" s="25"/>
      <c r="U37" s="25"/>
    </row>
    <row r="38" spans="1:21" x14ac:dyDescent="0.2">
      <c r="A38" s="25"/>
      <c r="B38" s="25"/>
      <c r="C38" s="25"/>
      <c r="D38" s="25"/>
      <c r="E38" s="25"/>
      <c r="F38" s="25"/>
      <c r="G38" s="25"/>
      <c r="H38" s="25"/>
      <c r="I38" s="25"/>
      <c r="J38" s="25"/>
      <c r="K38" s="25"/>
      <c r="L38" s="25"/>
      <c r="M38" s="25"/>
      <c r="N38" s="25"/>
      <c r="O38" s="25"/>
      <c r="P38" s="25"/>
      <c r="Q38" s="25"/>
      <c r="R38" s="25"/>
      <c r="S38" s="25"/>
      <c r="T38" s="25"/>
      <c r="U38" s="25"/>
    </row>
    <row r="39" spans="1:21" x14ac:dyDescent="0.2">
      <c r="A39" s="25"/>
      <c r="B39" s="25"/>
      <c r="C39" s="25"/>
      <c r="D39" s="25"/>
      <c r="E39" s="25"/>
      <c r="F39" s="25"/>
      <c r="G39" s="25"/>
      <c r="H39" s="25"/>
      <c r="I39" s="25"/>
      <c r="J39" s="25"/>
      <c r="K39" s="25"/>
      <c r="L39" s="25"/>
      <c r="M39" s="25"/>
      <c r="N39" s="25"/>
      <c r="O39" s="25"/>
      <c r="P39" s="25"/>
      <c r="Q39" s="25"/>
      <c r="R39" s="25"/>
      <c r="S39" s="25"/>
      <c r="T39" s="25"/>
      <c r="U39" s="25"/>
    </row>
    <row r="40" spans="1:21" x14ac:dyDescent="0.2">
      <c r="A40" s="25"/>
      <c r="B40" s="25"/>
      <c r="C40" s="25"/>
      <c r="D40" s="25"/>
      <c r="E40" s="25"/>
      <c r="F40" s="25"/>
      <c r="G40" s="25"/>
      <c r="H40" s="25"/>
      <c r="I40" s="25"/>
      <c r="J40" s="25"/>
      <c r="K40" s="25"/>
      <c r="L40" s="25"/>
      <c r="M40" s="25"/>
      <c r="N40" s="25"/>
      <c r="O40" s="25"/>
      <c r="P40" s="25"/>
      <c r="Q40" s="25"/>
      <c r="R40" s="25"/>
      <c r="S40" s="25"/>
      <c r="T40" s="25"/>
      <c r="U40" s="25"/>
    </row>
    <row r="41" spans="1:21" x14ac:dyDescent="0.2">
      <c r="A41" s="25"/>
      <c r="B41" s="25"/>
      <c r="C41" s="25"/>
      <c r="D41" s="25"/>
      <c r="E41" s="25"/>
      <c r="F41" s="25"/>
      <c r="G41" s="25"/>
      <c r="H41" s="25"/>
      <c r="I41" s="25"/>
      <c r="J41" s="25"/>
      <c r="K41" s="25"/>
      <c r="L41" s="25"/>
      <c r="M41" s="25"/>
      <c r="N41" s="25"/>
      <c r="O41" s="25"/>
      <c r="P41" s="25"/>
      <c r="Q41" s="25"/>
      <c r="R41" s="25"/>
      <c r="S41" s="25"/>
      <c r="T41" s="25"/>
      <c r="U41" s="25"/>
    </row>
    <row r="42" spans="1:21" x14ac:dyDescent="0.2">
      <c r="A42" s="25"/>
      <c r="B42" s="25"/>
      <c r="C42" s="25"/>
      <c r="D42" s="25"/>
      <c r="E42" s="25"/>
      <c r="F42" s="25"/>
      <c r="G42" s="25"/>
      <c r="H42" s="25"/>
      <c r="I42" s="25"/>
      <c r="J42" s="25"/>
      <c r="K42" s="25"/>
      <c r="L42" s="25"/>
      <c r="M42" s="25"/>
      <c r="N42" s="25"/>
      <c r="O42" s="25"/>
      <c r="P42" s="25"/>
      <c r="Q42" s="25"/>
      <c r="R42" s="25"/>
      <c r="S42" s="25"/>
      <c r="T42" s="25"/>
      <c r="U42" s="25"/>
    </row>
    <row r="43" spans="1:21" x14ac:dyDescent="0.2">
      <c r="A43" s="25"/>
      <c r="B43" s="25"/>
      <c r="C43" s="25"/>
      <c r="D43" s="25"/>
      <c r="E43" s="25"/>
      <c r="F43" s="25"/>
      <c r="G43" s="25"/>
      <c r="H43" s="25"/>
      <c r="I43" s="25"/>
      <c r="J43" s="25"/>
      <c r="K43" s="25"/>
      <c r="L43" s="25"/>
      <c r="M43" s="25"/>
      <c r="N43" s="25"/>
      <c r="O43" s="25"/>
      <c r="P43" s="25"/>
      <c r="Q43" s="25"/>
    </row>
    <row r="44" spans="1:21" x14ac:dyDescent="0.2">
      <c r="A44" s="25"/>
      <c r="B44" s="25"/>
      <c r="C44" s="25"/>
      <c r="D44" s="25"/>
      <c r="E44" s="25"/>
      <c r="F44" s="25"/>
      <c r="G44" s="25"/>
      <c r="H44" s="25"/>
      <c r="I44" s="25"/>
      <c r="J44" s="25"/>
      <c r="K44" s="25"/>
      <c r="L44" s="25"/>
      <c r="M44" s="25"/>
      <c r="N44" s="25"/>
      <c r="O44" s="25"/>
      <c r="P44" s="25"/>
      <c r="Q44" s="25"/>
    </row>
    <row r="45" spans="1:21" x14ac:dyDescent="0.2">
      <c r="A45" s="25"/>
      <c r="B45" s="25"/>
      <c r="C45" s="25"/>
      <c r="D45" s="25"/>
      <c r="E45" s="25"/>
      <c r="F45" s="25"/>
      <c r="G45" s="25"/>
      <c r="H45" s="25"/>
      <c r="I45" s="25"/>
      <c r="J45" s="25"/>
      <c r="K45" s="25"/>
      <c r="L45" s="25"/>
      <c r="M45" s="25"/>
      <c r="N45" s="25"/>
      <c r="O45" s="25"/>
      <c r="P45" s="25"/>
      <c r="Q45" s="25"/>
    </row>
    <row r="46" spans="1:21" x14ac:dyDescent="0.2">
      <c r="A46" s="25"/>
      <c r="B46" s="25"/>
      <c r="C46" s="25"/>
      <c r="D46" s="25"/>
      <c r="E46" s="25"/>
      <c r="F46" s="25"/>
      <c r="G46" s="25"/>
      <c r="H46" s="25"/>
      <c r="I46" s="25"/>
      <c r="J46" s="25"/>
      <c r="K46" s="25"/>
      <c r="L46" s="25"/>
      <c r="M46" s="25"/>
      <c r="N46" s="25"/>
      <c r="O46" s="25"/>
      <c r="P46" s="25"/>
      <c r="Q46" s="25"/>
    </row>
    <row r="47" spans="1:21" x14ac:dyDescent="0.2">
      <c r="A47" s="25"/>
      <c r="B47" s="25"/>
      <c r="C47" s="25"/>
      <c r="D47" s="25"/>
      <c r="E47" s="25"/>
      <c r="F47" s="25"/>
      <c r="G47" s="25"/>
      <c r="H47" s="25"/>
      <c r="I47" s="25"/>
      <c r="J47" s="25"/>
      <c r="K47" s="25"/>
      <c r="L47" s="25"/>
      <c r="M47" s="25"/>
      <c r="N47" s="25"/>
      <c r="O47" s="25"/>
      <c r="P47" s="25"/>
      <c r="Q47" s="25"/>
    </row>
    <row r="48" spans="1:21" x14ac:dyDescent="0.2">
      <c r="A48" s="25"/>
      <c r="B48" s="25"/>
      <c r="C48" s="25"/>
      <c r="D48" s="25"/>
      <c r="E48" s="25"/>
      <c r="F48" s="25"/>
      <c r="G48" s="25"/>
      <c r="H48" s="25"/>
      <c r="I48" s="25"/>
      <c r="J48" s="25"/>
      <c r="K48" s="25"/>
      <c r="L48" s="25"/>
      <c r="M48" s="25"/>
      <c r="N48" s="25"/>
      <c r="O48" s="25"/>
      <c r="P48" s="25"/>
      <c r="Q48" s="25"/>
    </row>
    <row r="49" spans="1:17" x14ac:dyDescent="0.2">
      <c r="A49" s="25"/>
      <c r="B49" s="25"/>
      <c r="C49" s="25"/>
      <c r="D49" s="25"/>
      <c r="E49" s="25"/>
      <c r="F49" s="25"/>
      <c r="G49" s="25"/>
      <c r="H49" s="25"/>
      <c r="I49" s="25"/>
      <c r="J49" s="25"/>
      <c r="K49" s="25"/>
      <c r="L49" s="25"/>
      <c r="M49" s="25"/>
      <c r="N49" s="25"/>
      <c r="O49" s="25"/>
      <c r="P49" s="25"/>
      <c r="Q49" s="25"/>
    </row>
    <row r="50" spans="1:17" x14ac:dyDescent="0.2">
      <c r="A50" s="25"/>
      <c r="B50" s="25"/>
      <c r="C50" s="25"/>
      <c r="D50" s="25"/>
      <c r="E50" s="25"/>
      <c r="F50" s="25"/>
      <c r="G50" s="25"/>
      <c r="H50" s="25"/>
      <c r="I50" s="25"/>
      <c r="J50" s="25"/>
      <c r="K50" s="25"/>
      <c r="L50" s="25"/>
      <c r="M50" s="25"/>
      <c r="N50" s="25"/>
      <c r="O50" s="25"/>
      <c r="P50" s="25"/>
      <c r="Q50" s="25"/>
    </row>
    <row r="51" spans="1:17" x14ac:dyDescent="0.2">
      <c r="A51" s="25"/>
      <c r="B51" s="25"/>
      <c r="C51" s="25"/>
      <c r="D51" s="25"/>
      <c r="E51" s="25"/>
      <c r="F51" s="25"/>
      <c r="G51" s="25"/>
      <c r="H51" s="25"/>
      <c r="I51" s="25"/>
      <c r="J51" s="25"/>
      <c r="K51" s="25"/>
      <c r="L51" s="25"/>
      <c r="M51" s="25"/>
      <c r="N51" s="25"/>
      <c r="O51" s="25"/>
      <c r="P51" s="25"/>
      <c r="Q51" s="25"/>
    </row>
  </sheetData>
  <sheetProtection sheet="1" objects="1" scenarios="1" selectLockedCells="1"/>
  <mergeCells count="5">
    <mergeCell ref="F15:H15"/>
    <mergeCell ref="B19:C19"/>
    <mergeCell ref="B15:D15"/>
    <mergeCell ref="F13:H13"/>
    <mergeCell ref="F14:H14"/>
  </mergeCells>
  <phoneticPr fontId="15" type="noConversion"/>
  <conditionalFormatting sqref="F13:H15">
    <cfRule type="expression" dxfId="102" priority="1" stopIfTrue="1">
      <formula>(MASTERSWITCH=1)</formula>
    </cfRule>
  </conditionalFormatting>
  <conditionalFormatting sqref="C3:D4 C5:C11 C21:C25">
    <cfRule type="expression" dxfId="101" priority="2" stopIfTrue="1">
      <formula>(MASTERSWITCH=1)</formula>
    </cfRule>
  </conditionalFormatting>
  <printOptions horizontalCentered="1"/>
  <pageMargins left="0.75" right="0.75" top="1.75" bottom="1.5" header="0.5" footer="0.5"/>
  <pageSetup scale="83" orientation="portrait" horizontalDpi="0" verticalDpi="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606" r:id="rId5" name="Drop Down 6">
              <controlPr locked="0" defaultSize="0" autoLine="0" autoPict="0">
                <anchor moveWithCells="1">
                  <from>
                    <xdr:col>3</xdr:col>
                    <xdr:colOff>76200</xdr:colOff>
                    <xdr:row>18</xdr:row>
                    <xdr:rowOff>9525</xdr:rowOff>
                  </from>
                  <to>
                    <xdr:col>4</xdr:col>
                    <xdr:colOff>57150</xdr:colOff>
                    <xdr:row>19</xdr:row>
                    <xdr:rowOff>9525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P34"/>
  <sheetViews>
    <sheetView showRowColHeaders="0" workbookViewId="0">
      <selection activeCell="D6" sqref="D6"/>
    </sheetView>
  </sheetViews>
  <sheetFormatPr defaultRowHeight="12.75" x14ac:dyDescent="0.2"/>
  <cols>
    <col min="1" max="1" width="14.5703125" style="25" customWidth="1"/>
    <col min="2" max="2" width="3.7109375" style="25" customWidth="1"/>
    <col min="3" max="3" width="22.5703125" style="25" customWidth="1"/>
    <col min="4" max="4" width="10.7109375" style="25" customWidth="1"/>
    <col min="5" max="5" width="11.28515625" style="25" customWidth="1"/>
    <col min="6" max="6" width="11.140625" style="25" customWidth="1"/>
    <col min="7" max="7" width="8.28515625" style="25" customWidth="1"/>
    <col min="8" max="8" width="11" style="25" customWidth="1"/>
    <col min="9" max="9" width="8" style="25" customWidth="1"/>
    <col min="10" max="10" width="8.7109375" style="25" customWidth="1"/>
    <col min="11" max="11" width="7.7109375" style="25" customWidth="1"/>
    <col min="12" max="12" width="13" style="25" customWidth="1"/>
    <col min="13" max="13" width="8.42578125" style="25" bestFit="1" customWidth="1"/>
    <col min="14" max="14" width="12.7109375" style="25" customWidth="1"/>
    <col min="15" max="15" width="15.28515625" style="25" customWidth="1"/>
    <col min="16" max="16384" width="9.140625" style="25"/>
  </cols>
  <sheetData>
    <row r="1" spans="1:14" x14ac:dyDescent="0.2">
      <c r="A1" s="35"/>
      <c r="B1" s="737">
        <v>1</v>
      </c>
      <c r="J1" s="55"/>
    </row>
    <row r="2" spans="1:14" ht="18" x14ac:dyDescent="0.25">
      <c r="A2" s="70"/>
      <c r="D2" s="919" t="s">
        <v>191</v>
      </c>
      <c r="E2" s="919"/>
      <c r="F2" s="919"/>
      <c r="G2" s="919"/>
      <c r="H2" s="919"/>
      <c r="I2" s="623"/>
      <c r="J2" s="623"/>
      <c r="K2" s="623"/>
      <c r="L2" s="623"/>
    </row>
    <row r="3" spans="1:14" ht="21" customHeight="1" x14ac:dyDescent="0.25">
      <c r="A3" s="70"/>
      <c r="D3" s="909" t="str">
        <f>IF(ISERR(J16),"The sling length must be longer than half the distance between the attachment points!","")</f>
        <v/>
      </c>
      <c r="E3" s="909"/>
      <c r="F3" s="909"/>
      <c r="G3" s="909"/>
      <c r="H3" s="909"/>
      <c r="I3" s="358"/>
      <c r="J3" s="357"/>
      <c r="K3" s="359"/>
    </row>
    <row r="4" spans="1:14" ht="15" x14ac:dyDescent="0.25">
      <c r="A4" s="70"/>
      <c r="D4" s="909"/>
      <c r="E4" s="909"/>
      <c r="F4" s="909"/>
      <c r="G4" s="909"/>
      <c r="H4" s="909"/>
      <c r="I4" s="358"/>
      <c r="J4" s="357"/>
      <c r="K4" s="359"/>
    </row>
    <row r="5" spans="1:14" ht="15.75" thickBot="1" x14ac:dyDescent="0.3">
      <c r="A5" s="70"/>
      <c r="D5" s="885"/>
      <c r="E5" s="885"/>
      <c r="F5" s="885"/>
      <c r="G5" s="885"/>
      <c r="H5" s="885"/>
      <c r="I5" s="358"/>
      <c r="J5" s="357"/>
      <c r="K5" s="359"/>
    </row>
    <row r="6" spans="1:14" ht="16.5" thickBot="1" x14ac:dyDescent="0.3">
      <c r="A6" s="70"/>
      <c r="B6" s="920" t="s">
        <v>12</v>
      </c>
      <c r="C6" s="921"/>
      <c r="D6" s="766">
        <v>11500</v>
      </c>
      <c r="E6" s="367" t="str">
        <f>IF(B1=1,"lbs","kgs")</f>
        <v>lbs</v>
      </c>
      <c r="F6" s="637" t="str">
        <f>IF($B$1=1,CONCATENATE(ROUNDUP((D6/2000),2)," US tons"),CONCATENATE(ROUNDUP((D6/1000),2)," Metric tons"))</f>
        <v>5.75 US tons</v>
      </c>
      <c r="G6" s="367"/>
      <c r="H6" s="29"/>
      <c r="J6" s="52"/>
      <c r="K6" s="54"/>
      <c r="N6" s="72"/>
    </row>
    <row r="7" spans="1:14" ht="15" x14ac:dyDescent="0.25">
      <c r="A7" s="70"/>
      <c r="B7" s="922" t="s">
        <v>1034</v>
      </c>
      <c r="C7" s="922"/>
      <c r="D7" s="538">
        <f>((D6/2)*(D13/G11))</f>
        <v>7133.4567562252669</v>
      </c>
      <c r="E7" s="539" t="str">
        <f>IF(B1=1,"lbs","kgs")</f>
        <v>lbs</v>
      </c>
      <c r="F7" s="637" t="str">
        <f>IF($B$1=1,CONCATENATE(ROUNDUP((D7/2000),2)," US tons"),CONCATENATE(ROUNDUP((D7/1000),2)," Metric tons"))</f>
        <v>3.57 US tons</v>
      </c>
      <c r="G7" s="367"/>
    </row>
    <row r="8" spans="1:14" ht="16.5" customHeight="1" x14ac:dyDescent="0.2">
      <c r="A8" s="70"/>
    </row>
    <row r="9" spans="1:14" ht="12.95" customHeight="1" thickBot="1" x14ac:dyDescent="0.3">
      <c r="A9" s="255"/>
      <c r="D9" s="45" t="str">
        <f>IF(B1=1,"ft","m")</f>
        <v>ft</v>
      </c>
      <c r="E9" s="45" t="str">
        <f>IF(B1=1,"in","cm")</f>
        <v>in</v>
      </c>
      <c r="F9" s="52"/>
      <c r="L9" s="810" t="str">
        <f>IF(B1=1,(ROUNDDOWN(D13,1)&amp;" inches"),(ROUNDDOWN(D13,1)&amp;" cm"))</f>
        <v>101.3 inches</v>
      </c>
      <c r="N9" s="384"/>
    </row>
    <row r="10" spans="1:14" ht="15.75" thickBot="1" x14ac:dyDescent="0.3">
      <c r="A10" s="255"/>
      <c r="B10" s="528" t="s">
        <v>313</v>
      </c>
      <c r="C10" s="622"/>
      <c r="D10" s="361">
        <v>8</v>
      </c>
      <c r="E10" s="361">
        <v>3</v>
      </c>
      <c r="F10" s="533">
        <f>IF(B1=1,(($D$10*12)+$E$10),(($D$10*100)+($E$10)))</f>
        <v>99</v>
      </c>
      <c r="J10" s="531">
        <f>180-(J16+J16)</f>
        <v>72.574341812900002</v>
      </c>
    </row>
    <row r="11" spans="1:14" ht="15.75" thickBot="1" x14ac:dyDescent="0.3">
      <c r="A11" s="920" t="s">
        <v>1312</v>
      </c>
      <c r="B11" s="920"/>
      <c r="C11" s="921"/>
      <c r="D11" s="361">
        <v>10</v>
      </c>
      <c r="E11" s="361">
        <v>0</v>
      </c>
      <c r="F11" s="533">
        <f>IF(B1=1,(($D$11*12)+$E$11),(($D$11*100)+($E$11)))</f>
        <v>120</v>
      </c>
      <c r="G11" s="813">
        <f>SQRT((D13*D13)-((I23/2)*(I23/2)))</f>
        <v>81.718445898095737</v>
      </c>
      <c r="H11" s="529" t="str">
        <f>IF(B1=1,"inches","cm")</f>
        <v>inches</v>
      </c>
      <c r="J11" s="532" t="s">
        <v>2108</v>
      </c>
    </row>
    <row r="12" spans="1:14" x14ac:dyDescent="0.2">
      <c r="A12" s="255"/>
      <c r="C12" s="808" t="s">
        <v>1898</v>
      </c>
      <c r="D12" s="639">
        <f>IF(B1=1,(LOOKUP(H21,data_shackle2!A1:A80,data_shackle2!C1:C80)),(LOOKUP(H21,data_shackle2!A1:A80,data_shackle2!D1:D80)))</f>
        <v>2.38</v>
      </c>
      <c r="E12" s="638" t="str">
        <f>IF(B1=1,"in","cm")</f>
        <v>in</v>
      </c>
      <c r="G12" s="52"/>
    </row>
    <row r="13" spans="1:14" x14ac:dyDescent="0.2">
      <c r="A13" s="255"/>
      <c r="C13" s="807" t="s">
        <v>1899</v>
      </c>
      <c r="D13" s="809">
        <f>(F10+D12)</f>
        <v>101.38</v>
      </c>
      <c r="E13" s="638" t="str">
        <f>IF(B1=1,"in","cm")</f>
        <v>in</v>
      </c>
    </row>
    <row r="14" spans="1:14" x14ac:dyDescent="0.2">
      <c r="C14" s="640" t="s">
        <v>1919</v>
      </c>
    </row>
    <row r="15" spans="1:14" x14ac:dyDescent="0.2">
      <c r="A15" s="255"/>
      <c r="B15" s="70"/>
      <c r="C15" s="885" t="str">
        <f>IF((J16&lt;31),"Horizonal angles less than 30° are NOT recommended","")</f>
        <v/>
      </c>
      <c r="D15" s="885"/>
      <c r="E15" s="885"/>
      <c r="F15" s="885"/>
    </row>
    <row r="16" spans="1:14" ht="12.95" customHeight="1" x14ac:dyDescent="0.25">
      <c r="A16" s="255"/>
      <c r="B16" s="70"/>
      <c r="C16" s="885" t="str">
        <f>IF((J10&gt;119),"Shackle MAXIMUM Included angle exceeded (B30.26)","")</f>
        <v/>
      </c>
      <c r="D16" s="885"/>
      <c r="E16" s="885"/>
      <c r="F16" s="885"/>
      <c r="J16" s="530">
        <f>90-DEGREES(ATAN2(G11,(I23/2)))</f>
        <v>53.712829093549999</v>
      </c>
    </row>
    <row r="17" spans="1:16" ht="14.25" x14ac:dyDescent="0.2">
      <c r="A17" s="70"/>
      <c r="B17" s="624"/>
      <c r="E17" s="73" t="s">
        <v>2109</v>
      </c>
      <c r="F17" s="803" t="s">
        <v>375</v>
      </c>
      <c r="J17" s="177" t="s">
        <v>2108</v>
      </c>
    </row>
    <row r="18" spans="1:16" x14ac:dyDescent="0.2">
      <c r="A18" s="255"/>
      <c r="B18" s="624"/>
      <c r="E18" s="537" t="str">
        <f>IF(B1=1,"lb","kg")</f>
        <v>lb</v>
      </c>
      <c r="F18" s="537" t="str">
        <f>IF(B1=1,"lb","kg")</f>
        <v>lb</v>
      </c>
      <c r="N18" s="225"/>
      <c r="O18" s="225"/>
      <c r="P18" s="225"/>
    </row>
    <row r="19" spans="1:16" ht="15.95" customHeight="1" x14ac:dyDescent="0.2">
      <c r="A19" s="920" t="s">
        <v>310</v>
      </c>
      <c r="B19" s="920"/>
      <c r="E19" s="78">
        <f t="shared" ref="E19:F21" si="0">IF($B$1=1,N19,(N19*0.45359237))</f>
        <v>19000</v>
      </c>
      <c r="F19" s="78">
        <f t="shared" si="0"/>
        <v>11500</v>
      </c>
      <c r="G19" s="748" t="str">
        <f>IF(J10&gt;119,"UNSAFE"," ")</f>
        <v xml:space="preserve"> </v>
      </c>
      <c r="H19" s="724">
        <v>42</v>
      </c>
      <c r="N19" s="804">
        <f>IF($J$10&lt;90,LOOKUP($H$19,data_shackle!$C$4:$C$103,data_shackle!$U$4:$U$103),LOOKUP($H$19,data_shackle!$C$4:$C$103,data_shackle!$V$4:$V$103))</f>
        <v>19000</v>
      </c>
      <c r="O19" s="805">
        <f>$D$6</f>
        <v>11500</v>
      </c>
      <c r="P19" s="225"/>
    </row>
    <row r="20" spans="1:16" ht="15.95" customHeight="1" x14ac:dyDescent="0.2">
      <c r="A20" s="840" t="s">
        <v>311</v>
      </c>
      <c r="B20" s="840"/>
      <c r="E20" s="78">
        <f t="shared" si="0"/>
        <v>13200</v>
      </c>
      <c r="F20" s="78">
        <f t="shared" si="0"/>
        <v>7133.4567562252669</v>
      </c>
      <c r="G20" s="748" t="str">
        <f>IF(F20&gt;E20,"UNSAFE"," ")</f>
        <v xml:space="preserve"> </v>
      </c>
      <c r="H20" s="724">
        <v>40</v>
      </c>
      <c r="N20" s="804">
        <f>LOOKUP($H$20,data_sling_2!$B$2:$B$85,data_sling_2!$D$2:$D$85)</f>
        <v>13200</v>
      </c>
      <c r="O20" s="806">
        <f>$D$7</f>
        <v>7133.4567562252669</v>
      </c>
      <c r="P20" s="225"/>
    </row>
    <row r="21" spans="1:16" ht="15.95" customHeight="1" x14ac:dyDescent="0.2">
      <c r="A21" s="920" t="s">
        <v>312</v>
      </c>
      <c r="B21" s="920"/>
      <c r="E21" s="78">
        <f t="shared" si="0"/>
        <v>10000</v>
      </c>
      <c r="F21" s="78">
        <f t="shared" si="0"/>
        <v>7133.4567562252669</v>
      </c>
      <c r="G21" s="748" t="str">
        <f>IF(F21&gt;E21,"UNSAFE"," ")</f>
        <v xml:space="preserve"> </v>
      </c>
      <c r="H21" s="724">
        <v>40</v>
      </c>
      <c r="N21" s="804">
        <f>LOOKUP($H$21,data_shackle!$C$4:$C$103,data_shackle!$U$4:$U$103)</f>
        <v>10000</v>
      </c>
      <c r="O21" s="806">
        <f>$D$7</f>
        <v>7133.4567562252669</v>
      </c>
      <c r="P21" s="225"/>
    </row>
    <row r="22" spans="1:16" ht="15.95" customHeight="1" x14ac:dyDescent="0.2">
      <c r="E22" s="800"/>
      <c r="F22" s="801"/>
      <c r="G22" s="748"/>
      <c r="H22" s="724">
        <v>45</v>
      </c>
      <c r="N22" s="225"/>
      <c r="O22" s="225"/>
      <c r="P22" s="225"/>
    </row>
    <row r="23" spans="1:16" ht="15" x14ac:dyDescent="0.25">
      <c r="A23" s="70"/>
      <c r="F23" s="52"/>
      <c r="G23" s="52"/>
      <c r="I23" s="814">
        <f>IF(B1=1,(($D$11*12)+$E$11),(($D$11*100)+($E$11*1)))</f>
        <v>120</v>
      </c>
      <c r="J23" s="61" t="str">
        <f>IF(B1=1,"inches","cm")</f>
        <v>inches</v>
      </c>
    </row>
    <row r="24" spans="1:16" ht="15" x14ac:dyDescent="0.25">
      <c r="A24" s="70"/>
      <c r="C24" s="28"/>
    </row>
    <row r="25" spans="1:16" ht="18" customHeight="1" x14ac:dyDescent="0.2">
      <c r="A25" s="70"/>
      <c r="C25" s="925" t="s">
        <v>361</v>
      </c>
      <c r="D25" s="925"/>
    </row>
    <row r="26" spans="1:16" ht="15" x14ac:dyDescent="0.25">
      <c r="D26" s="923"/>
      <c r="E26" s="923"/>
      <c r="F26" s="923"/>
      <c r="G26" s="923"/>
      <c r="H26" s="923"/>
      <c r="I26" s="923"/>
      <c r="J26" s="923"/>
      <c r="K26" s="923"/>
      <c r="L26" s="923"/>
      <c r="N26" s="360"/>
      <c r="O26" s="360"/>
    </row>
    <row r="27" spans="1:16" x14ac:dyDescent="0.2">
      <c r="A27" s="70"/>
      <c r="C27" s="633"/>
      <c r="D27" s="924" t="str">
        <f>IF(MASTERSWITCH=1,"EVALUATION PERIOD EXPIRED!","")</f>
        <v/>
      </c>
      <c r="E27" s="924"/>
      <c r="F27" s="924"/>
      <c r="N27" s="257"/>
      <c r="O27" s="257"/>
    </row>
    <row r="28" spans="1:16" x14ac:dyDescent="0.2">
      <c r="A28" s="70"/>
      <c r="B28" s="70"/>
      <c r="C28" s="70"/>
      <c r="D28" s="924" t="str">
        <f>IF(MASTERSWITCH=1,"PLEASE PURCHASE LICENSE TO","")</f>
        <v/>
      </c>
      <c r="E28" s="924"/>
      <c r="F28" s="924"/>
      <c r="G28" s="70"/>
      <c r="H28" s="70"/>
      <c r="I28" s="528"/>
      <c r="J28" s="528"/>
      <c r="K28" s="528"/>
      <c r="L28" s="70"/>
      <c r="M28" s="375"/>
      <c r="N28" s="375"/>
      <c r="O28" s="375"/>
    </row>
    <row r="29" spans="1:16" x14ac:dyDescent="0.2">
      <c r="A29" s="70"/>
      <c r="B29" s="70"/>
      <c r="C29" s="70" t="s">
        <v>1817</v>
      </c>
      <c r="D29" s="887" t="str">
        <f>IF(MASTERSWITCH=1,"CONTINUE USING THIS PROGRAM","")</f>
        <v/>
      </c>
      <c r="E29" s="887"/>
      <c r="F29" s="887"/>
      <c r="G29" s="70"/>
      <c r="H29" s="70"/>
      <c r="I29" s="255"/>
      <c r="J29" s="70"/>
      <c r="K29" s="255"/>
      <c r="L29" s="70"/>
      <c r="M29" s="375"/>
      <c r="N29" s="375"/>
      <c r="O29" s="375"/>
    </row>
    <row r="30" spans="1:16" ht="18" customHeight="1" x14ac:dyDescent="0.2">
      <c r="B30" s="70"/>
      <c r="C30" s="910"/>
      <c r="D30" s="911"/>
      <c r="E30" s="911"/>
      <c r="F30" s="911"/>
      <c r="G30" s="911"/>
      <c r="H30" s="912"/>
      <c r="I30" s="751"/>
      <c r="J30" s="751"/>
      <c r="K30" s="751"/>
      <c r="L30" s="751"/>
      <c r="M30" s="56"/>
      <c r="O30" s="198"/>
    </row>
    <row r="31" spans="1:16" ht="18" customHeight="1" x14ac:dyDescent="0.2">
      <c r="B31" s="70"/>
      <c r="C31" s="913"/>
      <c r="D31" s="914"/>
      <c r="E31" s="914"/>
      <c r="F31" s="914"/>
      <c r="G31" s="914"/>
      <c r="H31" s="915"/>
      <c r="I31" s="751"/>
      <c r="J31" s="751"/>
      <c r="K31" s="751"/>
      <c r="L31" s="751"/>
      <c r="M31" s="56"/>
      <c r="O31" s="198"/>
    </row>
    <row r="32" spans="1:16" ht="18" customHeight="1" x14ac:dyDescent="0.2">
      <c r="B32" s="70"/>
      <c r="C32" s="913"/>
      <c r="D32" s="914"/>
      <c r="E32" s="914"/>
      <c r="F32" s="914"/>
      <c r="G32" s="914"/>
      <c r="H32" s="915"/>
      <c r="I32" s="751"/>
      <c r="J32" s="751"/>
      <c r="K32" s="751"/>
      <c r="L32" s="751"/>
      <c r="M32" s="56"/>
    </row>
    <row r="33" spans="2:13" ht="18" customHeight="1" x14ac:dyDescent="0.2">
      <c r="B33" s="70"/>
      <c r="C33" s="916"/>
      <c r="D33" s="917"/>
      <c r="E33" s="917"/>
      <c r="F33" s="917"/>
      <c r="G33" s="917"/>
      <c r="H33" s="918"/>
      <c r="I33" s="751"/>
      <c r="J33" s="751"/>
      <c r="K33" s="751"/>
      <c r="L33" s="751"/>
      <c r="M33" s="56"/>
    </row>
    <row r="34" spans="2:13" x14ac:dyDescent="0.2">
      <c r="B34" s="93"/>
      <c r="C34" s="750"/>
      <c r="D34" s="750"/>
      <c r="E34" s="750"/>
      <c r="F34" s="750"/>
      <c r="G34" s="750"/>
      <c r="H34" s="750"/>
      <c r="I34" s="750"/>
      <c r="J34" s="750"/>
      <c r="K34" s="750"/>
      <c r="L34" s="750"/>
    </row>
  </sheetData>
  <sheetProtection password="D809" sheet="1" objects="1" scenarios="1" selectLockedCells="1"/>
  <mergeCells count="17">
    <mergeCell ref="C16:F16"/>
    <mergeCell ref="D3:H4"/>
    <mergeCell ref="D5:H5"/>
    <mergeCell ref="C30:H33"/>
    <mergeCell ref="D2:H2"/>
    <mergeCell ref="B6:C6"/>
    <mergeCell ref="B7:C7"/>
    <mergeCell ref="D26:L26"/>
    <mergeCell ref="A19:B19"/>
    <mergeCell ref="A20:B20"/>
    <mergeCell ref="A21:B21"/>
    <mergeCell ref="A11:C11"/>
    <mergeCell ref="D28:F28"/>
    <mergeCell ref="D29:F29"/>
    <mergeCell ref="C25:D25"/>
    <mergeCell ref="D27:F27"/>
    <mergeCell ref="C15:F15"/>
  </mergeCells>
  <phoneticPr fontId="15" type="noConversion"/>
  <conditionalFormatting sqref="F6:F7">
    <cfRule type="expression" dxfId="100" priority="1" stopIfTrue="1">
      <formula>(E6="kgs")</formula>
    </cfRule>
  </conditionalFormatting>
  <conditionalFormatting sqref="G6:G7">
    <cfRule type="expression" dxfId="99" priority="2" stopIfTrue="1">
      <formula>(E6="kgs")</formula>
    </cfRule>
  </conditionalFormatting>
  <conditionalFormatting sqref="A20:A21">
    <cfRule type="expression" dxfId="98" priority="3" stopIfTrue="1">
      <formula>(F20&gt;E20)</formula>
    </cfRule>
  </conditionalFormatting>
  <conditionalFormatting sqref="N21 N19 E19:F19 E21:F21">
    <cfRule type="expression" dxfId="97" priority="4" stopIfTrue="1">
      <formula>(H19=1)</formula>
    </cfRule>
  </conditionalFormatting>
  <conditionalFormatting sqref="D3:H4">
    <cfRule type="expression" dxfId="96" priority="5" stopIfTrue="1">
      <formula>(ISERR(J16))</formula>
    </cfRule>
  </conditionalFormatting>
  <conditionalFormatting sqref="D2">
    <cfRule type="cellIs" dxfId="95" priority="6" stopIfTrue="1" operator="equal">
      <formula>"METER"</formula>
    </cfRule>
  </conditionalFormatting>
  <conditionalFormatting sqref="G19:G21">
    <cfRule type="cellIs" dxfId="94" priority="7" stopIfTrue="1" operator="equal">
      <formula>"UNSAFE"</formula>
    </cfRule>
  </conditionalFormatting>
  <conditionalFormatting sqref="E9">
    <cfRule type="cellIs" dxfId="93" priority="8" stopIfTrue="1" operator="equal">
      <formula>"cm"</formula>
    </cfRule>
  </conditionalFormatting>
  <conditionalFormatting sqref="E6:E7">
    <cfRule type="cellIs" dxfId="92" priority="9" stopIfTrue="1" operator="equal">
      <formula>"kgs"</formula>
    </cfRule>
  </conditionalFormatting>
  <conditionalFormatting sqref="D26:L26">
    <cfRule type="expression" dxfId="91" priority="10" stopIfTrue="1">
      <formula>"($E$1=1)"</formula>
    </cfRule>
  </conditionalFormatting>
  <conditionalFormatting sqref="D6 D10:E11 I23:J23 J16:J17 G11:H11">
    <cfRule type="expression" dxfId="90" priority="11" stopIfTrue="1">
      <formula>(MASTERSWITCH=1)</formula>
    </cfRule>
  </conditionalFormatting>
  <conditionalFormatting sqref="D27:F29">
    <cfRule type="expression" dxfId="89" priority="12" stopIfTrue="1">
      <formula>(MASTERSWITCH=1)</formula>
    </cfRule>
  </conditionalFormatting>
  <conditionalFormatting sqref="D7">
    <cfRule type="expression" dxfId="88" priority="13" stopIfTrue="1">
      <formula>($B$1&gt;1)</formula>
    </cfRule>
    <cfRule type="expression" dxfId="87" priority="14" stopIfTrue="1">
      <formula>(MASTERSWITCH=1)</formula>
    </cfRule>
  </conditionalFormatting>
  <conditionalFormatting sqref="D9">
    <cfRule type="cellIs" dxfId="86" priority="15" stopIfTrue="1" operator="equal">
      <formula>"m"</formula>
    </cfRule>
  </conditionalFormatting>
  <conditionalFormatting sqref="E18:F18">
    <cfRule type="cellIs" dxfId="85" priority="16" stopIfTrue="1" operator="equal">
      <formula>"kg"</formula>
    </cfRule>
  </conditionalFormatting>
  <conditionalFormatting sqref="C16:F16">
    <cfRule type="expression" dxfId="84" priority="17" stopIfTrue="1">
      <formula>(J10&gt;119)</formula>
    </cfRule>
  </conditionalFormatting>
  <conditionalFormatting sqref="C15:F15">
    <cfRule type="expression" dxfId="83" priority="18" stopIfTrue="1">
      <formula>(J16&lt;31)</formula>
    </cfRule>
  </conditionalFormatting>
  <conditionalFormatting sqref="A19:B19">
    <cfRule type="expression" dxfId="82" priority="19" stopIfTrue="1">
      <formula>(J10&gt;119)</formula>
    </cfRule>
  </conditionalFormatting>
  <dataValidations count="2">
    <dataValidation operator="greaterThan" allowBlank="1" showInputMessage="1" showErrorMessage="1" error="The sling length must be greater than the distance between eyebolts divided by 2" sqref="D10"/>
    <dataValidation operator="greaterThan" allowBlank="1" showInputMessage="1" showErrorMessage="1" sqref="F10"/>
  </dataValidations>
  <hyperlinks>
    <hyperlink ref="C25:D25" location="data_shackle!D78" tooltip="Click HERE to Modify Custom Shackle Values" display="Change custom shackle values"/>
  </hyperlinks>
  <printOptions horizontalCentered="1"/>
  <pageMargins left="0.75" right="0.75" top="1.75" bottom="1.5" header="0.5" footer="0.5"/>
  <pageSetup scale="70" orientation="portrait" horizontalDpi="0" verticalDpi="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1991" r:id="rId5" name="Drop Down 7">
              <controlPr locked="0" defaultSize="0" autoLine="0" autoPict="0">
                <anchor moveWithCells="1">
                  <from>
                    <xdr:col>1</xdr:col>
                    <xdr:colOff>628650</xdr:colOff>
                    <xdr:row>20</xdr:row>
                    <xdr:rowOff>19050</xdr:rowOff>
                  </from>
                  <to>
                    <xdr:col>3</xdr:col>
                    <xdr:colOff>600075</xdr:colOff>
                    <xdr:row>21</xdr:row>
                    <xdr:rowOff>19050</xdr:rowOff>
                  </to>
                </anchor>
              </controlPr>
            </control>
          </mc:Choice>
        </mc:AlternateContent>
        <mc:AlternateContent xmlns:mc="http://schemas.openxmlformats.org/markup-compatibility/2006">
          <mc:Choice Requires="x14">
            <control shapeId="41990" r:id="rId6" name="Drop Down 6">
              <controlPr locked="0" defaultSize="0" autoLine="0" autoPict="0">
                <anchor moveWithCells="1">
                  <from>
                    <xdr:col>1</xdr:col>
                    <xdr:colOff>628650</xdr:colOff>
                    <xdr:row>17</xdr:row>
                    <xdr:rowOff>152400</xdr:rowOff>
                  </from>
                  <to>
                    <xdr:col>3</xdr:col>
                    <xdr:colOff>600075</xdr:colOff>
                    <xdr:row>18</xdr:row>
                    <xdr:rowOff>190500</xdr:rowOff>
                  </to>
                </anchor>
              </controlPr>
            </control>
          </mc:Choice>
        </mc:AlternateContent>
        <mc:AlternateContent xmlns:mc="http://schemas.openxmlformats.org/markup-compatibility/2006">
          <mc:Choice Requires="x14">
            <control shapeId="41989" r:id="rId7" name="Drop Down 5">
              <controlPr locked="0" defaultSize="0" autoLine="0" autoPict="0">
                <anchor moveWithCells="1">
                  <from>
                    <xdr:col>0</xdr:col>
                    <xdr:colOff>857250</xdr:colOff>
                    <xdr:row>19</xdr:row>
                    <xdr:rowOff>0</xdr:rowOff>
                  </from>
                  <to>
                    <xdr:col>3</xdr:col>
                    <xdr:colOff>600075</xdr:colOff>
                    <xdr:row>20</xdr:row>
                    <xdr:rowOff>0</xdr:rowOff>
                  </to>
                </anchor>
              </controlPr>
            </control>
          </mc:Choice>
        </mc:AlternateContent>
        <mc:AlternateContent xmlns:mc="http://schemas.openxmlformats.org/markup-compatibility/2006">
          <mc:Choice Requires="x14">
            <control shapeId="42010" r:id="rId8" name="Option Button 26">
              <controlPr defaultSize="0" autoFill="0" autoLine="0" autoPict="0">
                <anchor moveWithCells="1" sizeWithCells="1">
                  <from>
                    <xdr:col>1</xdr:col>
                    <xdr:colOff>219075</xdr:colOff>
                    <xdr:row>1</xdr:row>
                    <xdr:rowOff>104775</xdr:rowOff>
                  </from>
                  <to>
                    <xdr:col>2</xdr:col>
                    <xdr:colOff>457200</xdr:colOff>
                    <xdr:row>2</xdr:row>
                    <xdr:rowOff>57150</xdr:rowOff>
                  </to>
                </anchor>
              </controlPr>
            </control>
          </mc:Choice>
        </mc:AlternateContent>
        <mc:AlternateContent xmlns:mc="http://schemas.openxmlformats.org/markup-compatibility/2006">
          <mc:Choice Requires="x14">
            <control shapeId="42011" r:id="rId9" name="Option Button 27">
              <controlPr defaultSize="0" autoFill="0" autoLine="0" autoPict="0">
                <anchor moveWithCells="1" sizeWithCells="1">
                  <from>
                    <xdr:col>2</xdr:col>
                    <xdr:colOff>438150</xdr:colOff>
                    <xdr:row>1</xdr:row>
                    <xdr:rowOff>104775</xdr:rowOff>
                  </from>
                  <to>
                    <xdr:col>2</xdr:col>
                    <xdr:colOff>1038225</xdr:colOff>
                    <xdr:row>2</xdr:row>
                    <xdr:rowOff>57150</xdr:rowOff>
                  </to>
                </anchor>
              </controlPr>
            </control>
          </mc:Choice>
        </mc:AlternateContent>
        <mc:AlternateContent xmlns:mc="http://schemas.openxmlformats.org/markup-compatibility/2006">
          <mc:Choice Requires="x14">
            <control shapeId="42012" r:id="rId10" name="Group Box 28">
              <controlPr defaultSize="0" autoFill="0" autoPict="0">
                <anchor moveWithCells="1" sizeWithCells="1">
                  <from>
                    <xdr:col>1</xdr:col>
                    <xdr:colOff>180975</xdr:colOff>
                    <xdr:row>1</xdr:row>
                    <xdr:rowOff>19050</xdr:rowOff>
                  </from>
                  <to>
                    <xdr:col>2</xdr:col>
                    <xdr:colOff>1123950</xdr:colOff>
                    <xdr:row>2</xdr:row>
                    <xdr:rowOff>104775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pageSetUpPr fitToPage="1"/>
  </sheetPr>
  <dimension ref="A1:S55"/>
  <sheetViews>
    <sheetView showRowColHeaders="0" workbookViewId="0">
      <selection activeCell="B25" sqref="B25:F32"/>
    </sheetView>
  </sheetViews>
  <sheetFormatPr defaultRowHeight="12.75" x14ac:dyDescent="0.2"/>
  <cols>
    <col min="1" max="1" width="17.5703125" customWidth="1"/>
    <col min="2" max="2" width="21.5703125" customWidth="1"/>
    <col min="3" max="3" width="12.7109375" customWidth="1"/>
    <col min="4" max="4" width="13" customWidth="1"/>
    <col min="7" max="7" width="23.85546875" customWidth="1"/>
  </cols>
  <sheetData>
    <row r="1" spans="1:19" x14ac:dyDescent="0.2">
      <c r="A1" s="35"/>
      <c r="C1" s="25"/>
      <c r="D1" s="25"/>
      <c r="E1" s="222">
        <v>1</v>
      </c>
      <c r="F1" s="25"/>
      <c r="G1" s="396"/>
      <c r="H1" s="25"/>
      <c r="I1" s="25"/>
      <c r="J1" s="25"/>
      <c r="K1" s="25"/>
      <c r="L1" s="25"/>
      <c r="M1" s="25"/>
      <c r="N1" s="25"/>
      <c r="O1" s="25"/>
      <c r="P1" s="25"/>
      <c r="Q1" s="25"/>
      <c r="R1" s="25"/>
      <c r="S1" s="25"/>
    </row>
    <row r="2" spans="1:19" ht="25.5" customHeight="1" x14ac:dyDescent="0.2">
      <c r="A2" s="25"/>
      <c r="B2" s="25"/>
      <c r="C2" s="25"/>
      <c r="D2" s="25"/>
      <c r="E2" s="25"/>
      <c r="F2" s="25"/>
      <c r="G2" s="396"/>
      <c r="H2" s="25"/>
      <c r="I2" s="25"/>
      <c r="J2" s="25"/>
      <c r="K2" s="25"/>
      <c r="L2" s="25"/>
      <c r="M2" s="25"/>
      <c r="N2" s="25"/>
      <c r="O2" s="25"/>
      <c r="P2" s="25"/>
      <c r="Q2" s="25"/>
      <c r="R2" s="25"/>
      <c r="S2" s="25"/>
    </row>
    <row r="3" spans="1:19" ht="15.75" thickBot="1" x14ac:dyDescent="0.3">
      <c r="A3" s="25"/>
      <c r="B3" s="70"/>
      <c r="C3" s="45" t="str">
        <f>IF(E1=1,"FEET","METER")</f>
        <v>FEET</v>
      </c>
      <c r="D3" s="45" t="str">
        <f>IF(E1=1,"inches","cm")</f>
        <v>inches</v>
      </c>
      <c r="E3" s="52"/>
      <c r="F3" s="52"/>
      <c r="G3" s="935" t="s">
        <v>1099</v>
      </c>
      <c r="H3" s="935"/>
      <c r="I3" s="935"/>
      <c r="J3" s="935"/>
      <c r="K3" s="25"/>
      <c r="L3" s="25"/>
      <c r="M3" s="25"/>
      <c r="N3" s="25"/>
      <c r="O3" s="25"/>
      <c r="P3" s="25"/>
      <c r="Q3" s="25"/>
      <c r="R3" s="25"/>
      <c r="S3" s="25"/>
    </row>
    <row r="4" spans="1:19" ht="15.75" thickBot="1" x14ac:dyDescent="0.3">
      <c r="A4" s="25"/>
      <c r="B4" s="401" t="s">
        <v>1091</v>
      </c>
      <c r="C4" s="361">
        <v>2</v>
      </c>
      <c r="D4" s="397">
        <v>8</v>
      </c>
      <c r="E4" s="402">
        <f t="shared" ref="E4:E9" si="0">IF($E$1=1,((C4*12)+D4),((C4*100)+(D4)))</f>
        <v>32</v>
      </c>
      <c r="F4" s="393" t="str">
        <f t="shared" ref="F4:F9" si="1">IF($E$1=1," inches"," centimeters")</f>
        <v xml:space="preserve"> inches</v>
      </c>
      <c r="G4" s="396"/>
      <c r="H4" s="25"/>
      <c r="I4" s="25"/>
      <c r="J4" s="25"/>
      <c r="K4" s="25"/>
      <c r="L4" s="25"/>
      <c r="M4" s="25"/>
      <c r="N4" s="25"/>
      <c r="O4" s="25"/>
      <c r="P4" s="25"/>
      <c r="Q4" s="25"/>
      <c r="R4" s="25"/>
      <c r="S4" s="25"/>
    </row>
    <row r="5" spans="1:19" ht="15.75" thickBot="1" x14ac:dyDescent="0.3">
      <c r="A5" s="25"/>
      <c r="B5" s="645" t="s">
        <v>1092</v>
      </c>
      <c r="C5" s="361">
        <v>0</v>
      </c>
      <c r="D5" s="397">
        <v>16</v>
      </c>
      <c r="E5" s="402">
        <f t="shared" si="0"/>
        <v>16</v>
      </c>
      <c r="F5" s="393" t="str">
        <f t="shared" si="1"/>
        <v xml:space="preserve"> inches</v>
      </c>
      <c r="G5" s="396"/>
      <c r="H5" s="25"/>
      <c r="I5" s="25"/>
      <c r="J5" s="25"/>
      <c r="K5" s="25"/>
      <c r="L5" s="25"/>
      <c r="M5" s="25"/>
      <c r="N5" s="25"/>
      <c r="O5" s="25"/>
      <c r="P5" s="25"/>
      <c r="Q5" s="25"/>
      <c r="R5" s="25"/>
      <c r="S5" s="25"/>
    </row>
    <row r="6" spans="1:19" ht="15.75" thickBot="1" x14ac:dyDescent="0.3">
      <c r="A6" s="25"/>
      <c r="B6" s="401" t="s">
        <v>1093</v>
      </c>
      <c r="C6" s="361">
        <v>0</v>
      </c>
      <c r="D6" s="397">
        <v>34</v>
      </c>
      <c r="E6" s="402">
        <f t="shared" si="0"/>
        <v>34</v>
      </c>
      <c r="F6" s="393" t="str">
        <f t="shared" si="1"/>
        <v xml:space="preserve"> inches</v>
      </c>
      <c r="G6" s="396"/>
      <c r="H6" s="25"/>
      <c r="I6" s="25"/>
      <c r="J6" s="25"/>
      <c r="K6" s="25"/>
      <c r="L6" s="25"/>
      <c r="M6" s="25"/>
      <c r="N6" s="25"/>
      <c r="O6" s="25"/>
      <c r="P6" s="25"/>
      <c r="Q6" s="25"/>
      <c r="R6" s="25"/>
      <c r="S6" s="25"/>
    </row>
    <row r="7" spans="1:19" ht="15.75" thickBot="1" x14ac:dyDescent="0.3">
      <c r="A7" s="25"/>
      <c r="B7" s="645" t="s">
        <v>1094</v>
      </c>
      <c r="C7" s="361">
        <v>4</v>
      </c>
      <c r="D7" s="397">
        <v>10</v>
      </c>
      <c r="E7" s="402">
        <f t="shared" si="0"/>
        <v>58</v>
      </c>
      <c r="F7" s="393" t="str">
        <f t="shared" si="1"/>
        <v xml:space="preserve"> inches</v>
      </c>
      <c r="G7" s="396"/>
      <c r="H7" s="25"/>
      <c r="I7" s="25"/>
      <c r="J7" s="25"/>
      <c r="K7" s="25"/>
      <c r="L7" s="25"/>
      <c r="M7" s="25"/>
      <c r="N7" s="25"/>
      <c r="O7" s="25"/>
      <c r="P7" s="25"/>
      <c r="Q7" s="25"/>
      <c r="R7" s="25"/>
      <c r="S7" s="25"/>
    </row>
    <row r="8" spans="1:19" ht="15.75" thickBot="1" x14ac:dyDescent="0.3">
      <c r="A8" s="25"/>
      <c r="B8" s="401" t="s">
        <v>1097</v>
      </c>
      <c r="C8" s="361">
        <v>3</v>
      </c>
      <c r="D8" s="397">
        <v>10.75</v>
      </c>
      <c r="E8" s="402">
        <f t="shared" si="0"/>
        <v>46.75</v>
      </c>
      <c r="F8" s="393" t="str">
        <f t="shared" si="1"/>
        <v xml:space="preserve"> inches</v>
      </c>
      <c r="G8" s="396"/>
      <c r="H8" s="25"/>
      <c r="I8" s="25"/>
      <c r="J8" s="25"/>
      <c r="K8" s="25"/>
      <c r="L8" s="25"/>
      <c r="M8" s="25"/>
      <c r="N8" s="25"/>
      <c r="O8" s="25"/>
      <c r="P8" s="25"/>
      <c r="Q8" s="25"/>
      <c r="R8" s="25"/>
      <c r="S8" s="25"/>
    </row>
    <row r="9" spans="1:19" ht="15.75" thickBot="1" x14ac:dyDescent="0.3">
      <c r="A9" s="25"/>
      <c r="B9" s="401" t="s">
        <v>1098</v>
      </c>
      <c r="C9" s="361">
        <v>5</v>
      </c>
      <c r="D9" s="397">
        <v>1</v>
      </c>
      <c r="E9" s="402">
        <f t="shared" si="0"/>
        <v>61</v>
      </c>
      <c r="F9" s="393" t="str">
        <f t="shared" si="1"/>
        <v xml:space="preserve"> inches</v>
      </c>
      <c r="H9" s="25"/>
      <c r="I9" s="25"/>
      <c r="J9" s="25"/>
      <c r="K9" s="25"/>
      <c r="L9" s="25"/>
      <c r="M9" s="25"/>
      <c r="N9" s="25"/>
      <c r="O9" s="25"/>
      <c r="P9" s="25"/>
      <c r="Q9" s="25"/>
      <c r="R9" s="25"/>
      <c r="S9" s="25"/>
    </row>
    <row r="10" spans="1:19" ht="13.5" thickBot="1" x14ac:dyDescent="0.25">
      <c r="A10" s="25"/>
      <c r="B10" s="25"/>
      <c r="C10" s="25"/>
      <c r="E10" s="25"/>
      <c r="F10" s="25"/>
      <c r="G10" s="25"/>
      <c r="H10" s="25"/>
      <c r="I10" s="25"/>
      <c r="J10" s="25"/>
      <c r="K10" s="25"/>
      <c r="L10" s="25"/>
      <c r="M10" s="25"/>
      <c r="N10" s="25"/>
      <c r="O10" s="25"/>
      <c r="P10" s="25"/>
      <c r="Q10" s="25"/>
      <c r="R10" s="25"/>
      <c r="S10" s="25"/>
    </row>
    <row r="11" spans="1:19" ht="15.75" thickBot="1" x14ac:dyDescent="0.3">
      <c r="A11" s="25"/>
      <c r="B11" s="398" t="s">
        <v>1090</v>
      </c>
      <c r="C11" s="399">
        <v>30000</v>
      </c>
      <c r="D11" s="62" t="str">
        <f>IF($E$1=1,"lbs","kilograms")</f>
        <v>lbs</v>
      </c>
      <c r="E11" s="25"/>
      <c r="F11" s="25"/>
      <c r="G11" s="25"/>
      <c r="H11" s="25"/>
      <c r="I11" s="25"/>
      <c r="J11" s="25"/>
      <c r="K11" s="25"/>
      <c r="L11" s="25"/>
      <c r="M11" s="25"/>
      <c r="N11" s="25"/>
      <c r="O11" s="25"/>
      <c r="P11" s="25"/>
      <c r="Q11" s="25"/>
      <c r="R11" s="25"/>
      <c r="S11" s="25"/>
    </row>
    <row r="12" spans="1:19" x14ac:dyDescent="0.2">
      <c r="A12" s="25"/>
      <c r="B12" s="25"/>
      <c r="C12" s="25"/>
      <c r="D12" s="62"/>
      <c r="E12" s="25"/>
      <c r="F12" s="25"/>
      <c r="G12" s="25"/>
      <c r="H12" s="25"/>
      <c r="I12" s="25"/>
      <c r="J12" s="25"/>
      <c r="K12" s="25"/>
      <c r="L12" s="25"/>
      <c r="M12" s="25"/>
      <c r="N12" s="25"/>
      <c r="O12" s="25"/>
      <c r="P12" s="25"/>
      <c r="Q12" s="25"/>
      <c r="R12" s="25"/>
      <c r="S12" s="25"/>
    </row>
    <row r="13" spans="1:19" ht="15" x14ac:dyDescent="0.25">
      <c r="A13" s="25"/>
      <c r="B13" s="646" t="s">
        <v>1095</v>
      </c>
      <c r="C13" s="579">
        <f>(C11*E5*E8 ) / ((E5*E6)+(E4*E7))</f>
        <v>9350</v>
      </c>
      <c r="D13" s="62" t="str">
        <f>IF($E$1=1,"lbs","kilograms")</f>
        <v>lbs</v>
      </c>
      <c r="E13" s="25"/>
      <c r="F13" s="25"/>
      <c r="G13" s="25"/>
      <c r="H13" s="25"/>
      <c r="I13" s="25"/>
      <c r="J13" s="25"/>
      <c r="K13" s="25"/>
      <c r="L13" s="25"/>
      <c r="M13" s="25"/>
      <c r="N13" s="25"/>
      <c r="O13" s="25"/>
      <c r="P13" s="25"/>
      <c r="Q13" s="25"/>
      <c r="R13" s="25"/>
      <c r="S13" s="25"/>
    </row>
    <row r="14" spans="1:19" ht="15" x14ac:dyDescent="0.25">
      <c r="A14" s="25"/>
      <c r="B14" s="644" t="s">
        <v>1096</v>
      </c>
      <c r="C14" s="579">
        <f>(C11*E4*E9 ) / ((E5*E6)+(E4*E7))</f>
        <v>24400</v>
      </c>
      <c r="D14" s="62" t="str">
        <f>IF($E$1=1,"lbs","kilograms")</f>
        <v>lbs</v>
      </c>
      <c r="E14" s="25"/>
      <c r="F14" s="25"/>
      <c r="G14" s="25"/>
      <c r="H14" s="25"/>
      <c r="I14" s="25"/>
      <c r="J14" s="25"/>
      <c r="K14" s="25"/>
      <c r="L14" s="25"/>
      <c r="M14" s="25"/>
      <c r="N14" s="25"/>
      <c r="O14" s="25"/>
      <c r="P14" s="25"/>
      <c r="Q14" s="25"/>
      <c r="R14" s="25"/>
      <c r="S14" s="25"/>
    </row>
    <row r="15" spans="1:19" x14ac:dyDescent="0.2">
      <c r="A15" s="25"/>
      <c r="B15" s="25"/>
      <c r="C15" s="25"/>
      <c r="D15" s="25"/>
      <c r="E15" s="25"/>
      <c r="F15" s="25"/>
      <c r="G15" s="25"/>
      <c r="H15" s="25"/>
      <c r="I15" s="25"/>
      <c r="J15" s="25"/>
      <c r="K15" s="25"/>
      <c r="L15" s="25"/>
      <c r="M15" s="25"/>
      <c r="N15" s="25"/>
      <c r="O15" s="25"/>
      <c r="P15" s="25"/>
      <c r="Q15" s="25"/>
      <c r="R15" s="25"/>
      <c r="S15" s="25"/>
    </row>
    <row r="16" spans="1:19" x14ac:dyDescent="0.2">
      <c r="A16" s="25"/>
      <c r="B16" s="70"/>
      <c r="C16" s="70"/>
      <c r="D16" s="70"/>
      <c r="E16" s="70"/>
      <c r="F16" s="70"/>
      <c r="G16" s="25"/>
      <c r="H16" s="25"/>
      <c r="I16" s="25"/>
      <c r="J16" s="25"/>
      <c r="K16" s="25"/>
      <c r="L16" s="25"/>
      <c r="M16" s="25"/>
      <c r="N16" s="25"/>
      <c r="O16" s="25"/>
      <c r="P16" s="25"/>
      <c r="Q16" s="25"/>
      <c r="R16" s="25"/>
      <c r="S16" s="25"/>
    </row>
    <row r="17" spans="1:19" x14ac:dyDescent="0.2">
      <c r="A17" s="25"/>
      <c r="B17" s="70"/>
      <c r="C17" s="70"/>
      <c r="D17" s="70"/>
      <c r="E17" s="70"/>
      <c r="F17" s="70"/>
      <c r="G17" s="25"/>
      <c r="H17" s="25"/>
      <c r="I17" s="25"/>
      <c r="J17" s="25"/>
      <c r="K17" s="25"/>
      <c r="L17" s="25"/>
      <c r="M17" s="25"/>
      <c r="N17" s="25"/>
      <c r="O17" s="25"/>
      <c r="P17" s="25"/>
      <c r="Q17" s="25"/>
      <c r="R17" s="25"/>
      <c r="S17" s="25"/>
    </row>
    <row r="18" spans="1:19" ht="29.25" customHeight="1" x14ac:dyDescent="0.2">
      <c r="A18" s="25"/>
      <c r="B18" s="403"/>
      <c r="C18" s="70"/>
      <c r="D18" s="70"/>
      <c r="E18" s="213"/>
      <c r="F18" s="213"/>
      <c r="G18" s="56"/>
      <c r="H18" s="25"/>
      <c r="I18" s="25"/>
      <c r="J18" s="25"/>
      <c r="K18" s="25"/>
      <c r="L18" s="25"/>
      <c r="M18" s="25"/>
      <c r="N18" s="25"/>
      <c r="O18" s="25"/>
      <c r="P18" s="25"/>
      <c r="Q18" s="25"/>
      <c r="R18" s="25"/>
      <c r="S18" s="25"/>
    </row>
    <row r="19" spans="1:19" x14ac:dyDescent="0.2">
      <c r="A19" s="25"/>
      <c r="B19" s="202"/>
      <c r="C19" s="70"/>
      <c r="D19" s="70"/>
      <c r="E19" s="717"/>
      <c r="F19" s="717"/>
      <c r="G19" s="56"/>
      <c r="H19" s="25"/>
      <c r="I19" s="25"/>
      <c r="J19" s="25"/>
      <c r="K19" s="25"/>
      <c r="L19" s="25"/>
      <c r="M19" s="25"/>
      <c r="N19" s="25"/>
      <c r="O19" s="25"/>
      <c r="P19" s="25"/>
      <c r="Q19" s="25"/>
      <c r="R19" s="25"/>
      <c r="S19" s="25"/>
    </row>
    <row r="20" spans="1:19" x14ac:dyDescent="0.2">
      <c r="A20" s="25"/>
      <c r="B20" s="404"/>
      <c r="C20" s="70"/>
      <c r="D20" s="70"/>
      <c r="E20" s="213"/>
      <c r="F20" s="213"/>
      <c r="G20" s="56"/>
      <c r="H20" s="25"/>
      <c r="I20" s="25"/>
      <c r="J20" s="25"/>
      <c r="K20" s="25"/>
      <c r="L20" s="25"/>
      <c r="M20" s="25"/>
      <c r="N20" s="25"/>
      <c r="O20" s="25"/>
      <c r="P20" s="25"/>
      <c r="Q20" s="25"/>
      <c r="R20" s="25"/>
      <c r="S20" s="25"/>
    </row>
    <row r="21" spans="1:19" x14ac:dyDescent="0.2">
      <c r="A21" s="25"/>
      <c r="B21" s="887" t="str">
        <f>IF(MASTERSWITCH=1,"EVALUATION PERIOD EXPIRED!","")</f>
        <v/>
      </c>
      <c r="C21" s="887"/>
      <c r="D21" s="887"/>
      <c r="E21" s="213"/>
      <c r="F21" s="213"/>
      <c r="G21" s="56"/>
      <c r="H21" s="25"/>
      <c r="I21" s="25"/>
      <c r="J21" s="25"/>
      <c r="K21" s="25"/>
      <c r="L21" s="25"/>
      <c r="M21" s="25"/>
      <c r="N21" s="25"/>
      <c r="O21" s="25"/>
      <c r="P21" s="25"/>
      <c r="Q21" s="25"/>
      <c r="R21" s="25"/>
      <c r="S21" s="25"/>
    </row>
    <row r="22" spans="1:19" x14ac:dyDescent="0.2">
      <c r="B22" s="887" t="str">
        <f>IF(MASTERSWITCH=1,"PLEASE PURCHASE LICENSE TO","")</f>
        <v/>
      </c>
      <c r="C22" s="887"/>
      <c r="D22" s="887"/>
      <c r="E22" s="70"/>
      <c r="F22" s="718"/>
      <c r="G22" s="719"/>
      <c r="H22" s="719"/>
      <c r="I22" s="719"/>
      <c r="J22" s="719"/>
      <c r="K22" s="25"/>
      <c r="L22" s="25"/>
      <c r="M22" s="25"/>
      <c r="N22" s="25"/>
      <c r="O22" s="25"/>
      <c r="P22" s="25"/>
      <c r="Q22" s="25"/>
      <c r="R22" s="25"/>
      <c r="S22" s="25"/>
    </row>
    <row r="23" spans="1:19" x14ac:dyDescent="0.2">
      <c r="A23" s="25"/>
      <c r="B23" s="887" t="str">
        <f>IF(MASTERSWITCH=1,"CONTINUE USING THIS PROGRAM","")</f>
        <v/>
      </c>
      <c r="C23" s="887"/>
      <c r="D23" s="887"/>
      <c r="E23" s="70"/>
      <c r="F23" s="719"/>
      <c r="G23" s="719"/>
      <c r="H23" s="719"/>
      <c r="I23" s="719"/>
      <c r="J23" s="719"/>
      <c r="K23" s="25"/>
      <c r="L23" s="25"/>
      <c r="M23" s="25"/>
      <c r="N23" s="25"/>
      <c r="O23" s="25"/>
      <c r="P23" s="25"/>
      <c r="Q23" s="25"/>
      <c r="R23" s="25"/>
      <c r="S23" s="25"/>
    </row>
    <row r="24" spans="1:19" x14ac:dyDescent="0.2">
      <c r="A24" s="25"/>
      <c r="B24" s="70" t="s">
        <v>1817</v>
      </c>
      <c r="C24" s="70"/>
      <c r="D24" s="70"/>
      <c r="E24" s="70"/>
      <c r="F24" s="719"/>
      <c r="G24" s="719"/>
      <c r="H24" s="719"/>
      <c r="I24" s="719"/>
      <c r="J24" s="719"/>
      <c r="K24" s="25"/>
      <c r="L24" s="25"/>
      <c r="M24" s="25"/>
      <c r="N24" s="25"/>
      <c r="O24" s="25"/>
      <c r="P24" s="25"/>
      <c r="Q24" s="25"/>
      <c r="R24" s="25"/>
      <c r="S24" s="25"/>
    </row>
    <row r="25" spans="1:19" x14ac:dyDescent="0.2">
      <c r="A25" s="25"/>
      <c r="B25" s="926"/>
      <c r="C25" s="927"/>
      <c r="D25" s="927"/>
      <c r="E25" s="927"/>
      <c r="F25" s="928"/>
      <c r="G25" s="749"/>
      <c r="H25" s="749"/>
      <c r="I25" s="749"/>
      <c r="J25" s="749"/>
      <c r="K25" s="25"/>
      <c r="L25" s="25"/>
      <c r="M25" s="25"/>
      <c r="N25" s="25"/>
      <c r="O25" s="25"/>
      <c r="P25" s="25"/>
      <c r="Q25" s="25"/>
      <c r="R25" s="25"/>
      <c r="S25" s="25"/>
    </row>
    <row r="26" spans="1:19" x14ac:dyDescent="0.2">
      <c r="A26" s="25"/>
      <c r="B26" s="929"/>
      <c r="C26" s="930"/>
      <c r="D26" s="930"/>
      <c r="E26" s="930"/>
      <c r="F26" s="931"/>
      <c r="G26" s="749"/>
      <c r="H26" s="749"/>
      <c r="I26" s="749"/>
      <c r="J26" s="749"/>
      <c r="K26" s="25"/>
      <c r="L26" s="25"/>
      <c r="M26" s="25"/>
      <c r="N26" s="25"/>
      <c r="O26" s="25"/>
      <c r="P26" s="25"/>
      <c r="Q26" s="25"/>
      <c r="R26" s="25"/>
      <c r="S26" s="25"/>
    </row>
    <row r="27" spans="1:19" x14ac:dyDescent="0.2">
      <c r="A27" s="25"/>
      <c r="B27" s="929"/>
      <c r="C27" s="930"/>
      <c r="D27" s="930"/>
      <c r="E27" s="930"/>
      <c r="F27" s="931"/>
      <c r="G27" s="749"/>
      <c r="H27" s="749"/>
      <c r="I27" s="749"/>
      <c r="J27" s="749"/>
      <c r="K27" s="25"/>
      <c r="L27" s="25"/>
      <c r="M27" s="25"/>
      <c r="N27" s="25"/>
      <c r="O27" s="25"/>
      <c r="P27" s="25"/>
      <c r="Q27" s="25"/>
      <c r="R27" s="25"/>
      <c r="S27" s="25"/>
    </row>
    <row r="28" spans="1:19" x14ac:dyDescent="0.2">
      <c r="A28" s="25"/>
      <c r="B28" s="929"/>
      <c r="C28" s="930"/>
      <c r="D28" s="930"/>
      <c r="E28" s="930"/>
      <c r="F28" s="931"/>
      <c r="G28" s="749"/>
      <c r="H28" s="749"/>
      <c r="I28" s="749"/>
      <c r="J28" s="749"/>
      <c r="K28" s="25"/>
      <c r="L28" s="25"/>
      <c r="M28" s="25"/>
      <c r="N28" s="25"/>
      <c r="O28" s="25"/>
      <c r="P28" s="25"/>
      <c r="Q28" s="25"/>
      <c r="R28" s="25"/>
      <c r="S28" s="25"/>
    </row>
    <row r="29" spans="1:19" x14ac:dyDescent="0.2">
      <c r="A29" s="25"/>
      <c r="B29" s="929"/>
      <c r="C29" s="930"/>
      <c r="D29" s="930"/>
      <c r="E29" s="930"/>
      <c r="F29" s="931"/>
      <c r="G29" s="749"/>
      <c r="H29" s="749"/>
      <c r="I29" s="749"/>
      <c r="J29" s="749"/>
      <c r="K29" s="25"/>
      <c r="L29" s="25"/>
      <c r="M29" s="25"/>
      <c r="N29" s="25"/>
      <c r="O29" s="25"/>
      <c r="P29" s="25"/>
      <c r="Q29" s="25"/>
      <c r="R29" s="25"/>
      <c r="S29" s="25"/>
    </row>
    <row r="30" spans="1:19" x14ac:dyDescent="0.2">
      <c r="A30" s="25"/>
      <c r="B30" s="929"/>
      <c r="C30" s="930"/>
      <c r="D30" s="930"/>
      <c r="E30" s="930"/>
      <c r="F30" s="931"/>
      <c r="G30" s="25"/>
      <c r="H30" s="25"/>
      <c r="I30" s="25"/>
      <c r="J30" s="25"/>
      <c r="K30" s="25"/>
      <c r="L30" s="25"/>
      <c r="M30" s="25"/>
      <c r="N30" s="25"/>
      <c r="O30" s="25"/>
      <c r="P30" s="25"/>
      <c r="Q30" s="25"/>
      <c r="R30" s="25"/>
      <c r="S30" s="25"/>
    </row>
    <row r="31" spans="1:19" x14ac:dyDescent="0.2">
      <c r="A31" s="25"/>
      <c r="B31" s="929"/>
      <c r="C31" s="930"/>
      <c r="D31" s="930"/>
      <c r="E31" s="930"/>
      <c r="F31" s="931"/>
      <c r="G31" s="25"/>
      <c r="H31" s="25"/>
      <c r="I31" s="25"/>
      <c r="J31" s="25"/>
      <c r="K31" s="25"/>
      <c r="L31" s="25"/>
      <c r="M31" s="25"/>
      <c r="N31" s="25"/>
      <c r="O31" s="25"/>
      <c r="P31" s="25"/>
      <c r="Q31" s="25"/>
      <c r="R31" s="25"/>
      <c r="S31" s="25"/>
    </row>
    <row r="32" spans="1:19" x14ac:dyDescent="0.2">
      <c r="A32" s="25"/>
      <c r="B32" s="932"/>
      <c r="C32" s="933"/>
      <c r="D32" s="933"/>
      <c r="E32" s="933"/>
      <c r="F32" s="934"/>
      <c r="G32" s="25"/>
      <c r="H32" s="25"/>
      <c r="I32" s="25"/>
      <c r="J32" s="25"/>
      <c r="K32" s="25"/>
      <c r="L32" s="25"/>
      <c r="M32" s="25"/>
      <c r="N32" s="25"/>
      <c r="O32" s="25"/>
      <c r="P32" s="25"/>
      <c r="Q32" s="25"/>
      <c r="R32" s="25"/>
      <c r="S32" s="25"/>
    </row>
    <row r="33" spans="1:19" x14ac:dyDescent="0.2">
      <c r="A33" s="25"/>
      <c r="B33" s="25"/>
      <c r="C33" s="25"/>
      <c r="D33" s="25"/>
      <c r="E33" s="25"/>
      <c r="F33" s="25"/>
      <c r="G33" s="25"/>
      <c r="H33" s="25"/>
      <c r="I33" s="25"/>
      <c r="J33" s="25"/>
      <c r="K33" s="25"/>
      <c r="L33" s="25"/>
      <c r="M33" s="25"/>
      <c r="N33" s="25"/>
      <c r="O33" s="25"/>
      <c r="P33" s="25"/>
      <c r="Q33" s="25"/>
      <c r="R33" s="25"/>
      <c r="S33" s="25"/>
    </row>
    <row r="34" spans="1:19" x14ac:dyDescent="0.2">
      <c r="A34" s="25"/>
      <c r="B34" s="25"/>
      <c r="C34" s="25"/>
      <c r="D34" s="25"/>
      <c r="E34" s="25"/>
      <c r="F34" s="25"/>
      <c r="G34" s="25"/>
      <c r="H34" s="25"/>
      <c r="I34" s="25"/>
      <c r="J34" s="25"/>
      <c r="K34" s="25"/>
      <c r="L34" s="25"/>
      <c r="M34" s="25"/>
      <c r="N34" s="25"/>
      <c r="O34" s="25"/>
      <c r="P34" s="25"/>
      <c r="Q34" s="25"/>
      <c r="R34" s="25"/>
      <c r="S34" s="25"/>
    </row>
    <row r="35" spans="1:19" x14ac:dyDescent="0.2">
      <c r="A35" s="25"/>
      <c r="B35" s="25"/>
      <c r="C35" s="25"/>
      <c r="D35" s="25"/>
      <c r="E35" s="25"/>
      <c r="F35" s="25"/>
      <c r="G35" s="25"/>
      <c r="H35" s="25"/>
      <c r="I35" s="25"/>
      <c r="J35" s="25"/>
      <c r="K35" s="25"/>
      <c r="L35" s="25"/>
      <c r="M35" s="25"/>
      <c r="N35" s="25"/>
      <c r="O35" s="25"/>
      <c r="P35" s="25"/>
      <c r="Q35" s="25"/>
      <c r="R35" s="25"/>
      <c r="S35" s="25"/>
    </row>
    <row r="36" spans="1:19" x14ac:dyDescent="0.2">
      <c r="A36" s="25"/>
      <c r="B36" s="25"/>
      <c r="C36" s="25"/>
      <c r="D36" s="25"/>
      <c r="E36" s="25"/>
      <c r="F36" s="25"/>
      <c r="G36" s="25"/>
      <c r="H36" s="25"/>
      <c r="I36" s="25"/>
      <c r="J36" s="25"/>
      <c r="K36" s="25"/>
      <c r="L36" s="25"/>
      <c r="M36" s="25"/>
      <c r="N36" s="25"/>
      <c r="O36" s="25"/>
      <c r="P36" s="25"/>
      <c r="Q36" s="25"/>
      <c r="R36" s="25"/>
      <c r="S36" s="25"/>
    </row>
    <row r="37" spans="1:19" x14ac:dyDescent="0.2">
      <c r="A37" s="25"/>
      <c r="B37" s="25"/>
      <c r="C37" s="25"/>
      <c r="D37" s="25"/>
      <c r="E37" s="25"/>
      <c r="F37" s="25"/>
      <c r="G37" s="25"/>
      <c r="H37" s="25"/>
      <c r="I37" s="25"/>
      <c r="J37" s="25"/>
      <c r="K37" s="25"/>
      <c r="L37" s="25"/>
      <c r="M37" s="25"/>
      <c r="N37" s="25"/>
      <c r="O37" s="25"/>
      <c r="P37" s="25"/>
      <c r="Q37" s="25"/>
      <c r="R37" s="25"/>
      <c r="S37" s="25"/>
    </row>
    <row r="38" spans="1:19" x14ac:dyDescent="0.2">
      <c r="A38" s="25"/>
      <c r="B38" s="25"/>
      <c r="C38" s="25"/>
      <c r="D38" s="25"/>
      <c r="E38" s="25"/>
      <c r="F38" s="25"/>
      <c r="G38" s="25"/>
      <c r="H38" s="25"/>
      <c r="I38" s="25"/>
      <c r="J38" s="25"/>
      <c r="K38" s="25"/>
      <c r="L38" s="25"/>
      <c r="M38" s="25"/>
      <c r="N38" s="25"/>
      <c r="O38" s="25"/>
      <c r="P38" s="25"/>
      <c r="Q38" s="25"/>
      <c r="R38" s="25"/>
      <c r="S38" s="25"/>
    </row>
    <row r="39" spans="1:19" x14ac:dyDescent="0.2">
      <c r="A39" s="25"/>
      <c r="B39" s="25"/>
      <c r="C39" s="25"/>
      <c r="D39" s="25"/>
      <c r="E39" s="25"/>
      <c r="F39" s="25"/>
      <c r="G39" s="25"/>
      <c r="H39" s="25"/>
      <c r="I39" s="25"/>
      <c r="J39" s="25"/>
      <c r="K39" s="25"/>
      <c r="L39" s="25"/>
      <c r="M39" s="25"/>
      <c r="N39" s="25"/>
      <c r="O39" s="25"/>
      <c r="P39" s="25"/>
      <c r="Q39" s="25"/>
      <c r="R39" s="25"/>
      <c r="S39" s="25"/>
    </row>
    <row r="40" spans="1:19" x14ac:dyDescent="0.2">
      <c r="A40" s="25"/>
      <c r="B40" s="25"/>
      <c r="C40" s="25"/>
      <c r="D40" s="25"/>
      <c r="E40" s="25"/>
      <c r="F40" s="25"/>
      <c r="G40" s="25"/>
      <c r="H40" s="25"/>
      <c r="I40" s="25"/>
      <c r="J40" s="25"/>
      <c r="K40" s="25"/>
      <c r="L40" s="25"/>
      <c r="M40" s="25"/>
      <c r="N40" s="25"/>
      <c r="O40" s="25"/>
      <c r="P40" s="25"/>
      <c r="Q40" s="25"/>
      <c r="R40" s="25"/>
      <c r="S40" s="25"/>
    </row>
    <row r="41" spans="1:19" x14ac:dyDescent="0.2">
      <c r="A41" s="25"/>
      <c r="B41" s="25"/>
      <c r="C41" s="25"/>
      <c r="D41" s="25"/>
      <c r="E41" s="25"/>
      <c r="F41" s="25"/>
      <c r="G41" s="25"/>
      <c r="H41" s="25"/>
      <c r="I41" s="25"/>
      <c r="J41" s="25"/>
      <c r="K41" s="25"/>
      <c r="L41" s="25"/>
      <c r="M41" s="25"/>
      <c r="N41" s="25"/>
      <c r="O41" s="25"/>
      <c r="P41" s="25"/>
      <c r="Q41" s="25"/>
      <c r="R41" s="25"/>
      <c r="S41" s="25"/>
    </row>
    <row r="42" spans="1:19" x14ac:dyDescent="0.2">
      <c r="A42" s="25"/>
      <c r="B42" s="25"/>
      <c r="C42" s="25"/>
      <c r="D42" s="25"/>
      <c r="E42" s="25"/>
      <c r="F42" s="25"/>
      <c r="G42" s="25"/>
      <c r="H42" s="25"/>
      <c r="I42" s="25"/>
      <c r="J42" s="25"/>
      <c r="K42" s="25"/>
      <c r="L42" s="25"/>
      <c r="M42" s="25"/>
      <c r="N42" s="25"/>
      <c r="O42" s="25"/>
      <c r="P42" s="25"/>
      <c r="Q42" s="25"/>
      <c r="R42" s="25"/>
      <c r="S42" s="25"/>
    </row>
    <row r="43" spans="1:19" x14ac:dyDescent="0.2">
      <c r="A43" s="25"/>
      <c r="B43" s="25"/>
      <c r="C43" s="25"/>
      <c r="D43" s="25"/>
      <c r="E43" s="25"/>
      <c r="F43" s="25"/>
      <c r="G43" s="25"/>
      <c r="H43" s="25"/>
      <c r="I43" s="25"/>
      <c r="J43" s="25"/>
      <c r="K43" s="25"/>
      <c r="L43" s="25"/>
      <c r="M43" s="25"/>
      <c r="N43" s="25"/>
      <c r="O43" s="25"/>
      <c r="P43" s="25"/>
      <c r="Q43" s="25"/>
      <c r="R43" s="25"/>
      <c r="S43" s="25"/>
    </row>
    <row r="44" spans="1:19" x14ac:dyDescent="0.2">
      <c r="A44" s="25"/>
      <c r="B44" s="25"/>
      <c r="C44" s="25"/>
      <c r="D44" s="25"/>
      <c r="E44" s="25"/>
      <c r="F44" s="25"/>
      <c r="G44" s="25"/>
      <c r="H44" s="25"/>
      <c r="I44" s="25"/>
      <c r="J44" s="25"/>
      <c r="K44" s="25"/>
      <c r="L44" s="25"/>
      <c r="M44" s="25"/>
      <c r="N44" s="25"/>
      <c r="O44" s="25"/>
      <c r="P44" s="25"/>
      <c r="Q44" s="25"/>
      <c r="R44" s="25"/>
      <c r="S44" s="25"/>
    </row>
    <row r="45" spans="1:19" x14ac:dyDescent="0.2">
      <c r="A45" s="25"/>
      <c r="B45" s="25"/>
      <c r="C45" s="25"/>
      <c r="D45" s="25"/>
      <c r="E45" s="25"/>
      <c r="F45" s="25"/>
      <c r="G45" s="25"/>
      <c r="H45" s="25"/>
      <c r="I45" s="25"/>
      <c r="J45" s="25"/>
      <c r="K45" s="25"/>
      <c r="L45" s="25"/>
      <c r="M45" s="25"/>
      <c r="N45" s="25"/>
      <c r="O45" s="25"/>
      <c r="P45" s="25"/>
      <c r="Q45" s="25"/>
      <c r="R45" s="25"/>
      <c r="S45" s="25"/>
    </row>
    <row r="46" spans="1:19" x14ac:dyDescent="0.2">
      <c r="A46" s="25"/>
      <c r="B46" s="25"/>
      <c r="C46" s="25"/>
      <c r="D46" s="25"/>
      <c r="E46" s="25"/>
      <c r="F46" s="25"/>
      <c r="G46" s="25"/>
      <c r="H46" s="25"/>
      <c r="I46" s="25"/>
      <c r="J46" s="25"/>
      <c r="K46" s="25"/>
      <c r="L46" s="25"/>
      <c r="M46" s="25"/>
      <c r="N46" s="25"/>
      <c r="O46" s="25"/>
      <c r="P46" s="25"/>
      <c r="Q46" s="25"/>
      <c r="R46" s="25"/>
      <c r="S46" s="25"/>
    </row>
    <row r="47" spans="1:19" x14ac:dyDescent="0.2">
      <c r="A47" s="25"/>
      <c r="B47" s="25"/>
      <c r="C47" s="25"/>
      <c r="D47" s="25"/>
      <c r="E47" s="25"/>
      <c r="F47" s="25"/>
      <c r="G47" s="25"/>
      <c r="H47" s="25"/>
      <c r="I47" s="25"/>
      <c r="J47" s="25"/>
      <c r="K47" s="25"/>
      <c r="L47" s="25"/>
      <c r="M47" s="25"/>
      <c r="N47" s="25"/>
      <c r="O47" s="25"/>
      <c r="P47" s="25"/>
      <c r="Q47" s="25"/>
      <c r="R47" s="25"/>
      <c r="S47" s="25"/>
    </row>
    <row r="48" spans="1:19" x14ac:dyDescent="0.2">
      <c r="A48" s="25"/>
      <c r="B48" s="25"/>
      <c r="C48" s="25"/>
      <c r="D48" s="25"/>
      <c r="E48" s="25"/>
      <c r="F48" s="25"/>
      <c r="G48" s="25"/>
      <c r="H48" s="25"/>
      <c r="I48" s="25"/>
      <c r="J48" s="25"/>
      <c r="K48" s="25"/>
      <c r="L48" s="25"/>
      <c r="M48" s="25"/>
      <c r="N48" s="25"/>
      <c r="O48" s="25"/>
      <c r="P48" s="25"/>
      <c r="Q48" s="25"/>
      <c r="R48" s="25"/>
      <c r="S48" s="25"/>
    </row>
    <row r="49" spans="1:19" x14ac:dyDescent="0.2">
      <c r="A49" s="25"/>
      <c r="B49" s="25"/>
      <c r="C49" s="25"/>
      <c r="D49" s="25"/>
      <c r="E49" s="25"/>
      <c r="F49" s="25"/>
      <c r="G49" s="25"/>
      <c r="H49" s="25"/>
      <c r="I49" s="25"/>
      <c r="J49" s="25"/>
      <c r="K49" s="25"/>
      <c r="L49" s="25"/>
      <c r="M49" s="25"/>
      <c r="N49" s="25"/>
      <c r="O49" s="25"/>
      <c r="P49" s="25"/>
      <c r="Q49" s="25"/>
      <c r="R49" s="25"/>
      <c r="S49" s="25"/>
    </row>
    <row r="50" spans="1:19" x14ac:dyDescent="0.2">
      <c r="A50" s="25"/>
      <c r="B50" s="25"/>
      <c r="C50" s="25"/>
      <c r="D50" s="25"/>
      <c r="E50" s="25"/>
      <c r="F50" s="25"/>
      <c r="G50" s="25"/>
      <c r="H50" s="25"/>
      <c r="I50" s="25"/>
      <c r="J50" s="25"/>
      <c r="K50" s="25"/>
      <c r="L50" s="25"/>
      <c r="M50" s="25"/>
      <c r="N50" s="25"/>
      <c r="O50" s="25"/>
      <c r="P50" s="25"/>
      <c r="Q50" s="25"/>
      <c r="R50" s="25"/>
      <c r="S50" s="25"/>
    </row>
    <row r="51" spans="1:19" x14ac:dyDescent="0.2">
      <c r="A51" s="25"/>
      <c r="B51" s="25"/>
      <c r="C51" s="25"/>
      <c r="D51" s="25"/>
      <c r="E51" s="25"/>
      <c r="F51" s="25"/>
      <c r="G51" s="25"/>
      <c r="H51" s="25"/>
      <c r="I51" s="25"/>
      <c r="J51" s="25"/>
      <c r="K51" s="25"/>
      <c r="L51" s="25"/>
      <c r="M51" s="25"/>
      <c r="N51" s="25"/>
      <c r="O51" s="25"/>
      <c r="P51" s="25"/>
      <c r="Q51" s="25"/>
      <c r="R51" s="25"/>
      <c r="S51" s="25"/>
    </row>
    <row r="52" spans="1:19" x14ac:dyDescent="0.2">
      <c r="A52" s="25"/>
      <c r="B52" s="25"/>
      <c r="C52" s="25"/>
      <c r="D52" s="25"/>
      <c r="E52" s="25"/>
      <c r="F52" s="25"/>
      <c r="G52" s="25"/>
      <c r="H52" s="25"/>
      <c r="I52" s="25"/>
      <c r="J52" s="25"/>
      <c r="K52" s="25"/>
      <c r="L52" s="25"/>
      <c r="M52" s="25"/>
      <c r="N52" s="25"/>
      <c r="O52" s="25"/>
      <c r="P52" s="25"/>
      <c r="Q52" s="25"/>
      <c r="R52" s="25"/>
      <c r="S52" s="25"/>
    </row>
    <row r="53" spans="1:19" x14ac:dyDescent="0.2">
      <c r="A53" s="25"/>
      <c r="B53" s="25"/>
      <c r="C53" s="25"/>
      <c r="D53" s="25"/>
      <c r="E53" s="25"/>
      <c r="F53" s="25"/>
      <c r="G53" s="25"/>
      <c r="H53" s="25"/>
      <c r="I53" s="25"/>
      <c r="J53" s="25"/>
      <c r="K53" s="25"/>
      <c r="L53" s="25"/>
      <c r="M53" s="25"/>
      <c r="N53" s="25"/>
      <c r="O53" s="25"/>
      <c r="P53" s="25"/>
      <c r="Q53" s="25"/>
      <c r="R53" s="25"/>
      <c r="S53" s="25"/>
    </row>
    <row r="54" spans="1:19" x14ac:dyDescent="0.2">
      <c r="A54" s="25"/>
      <c r="B54" s="25"/>
      <c r="C54" s="25"/>
      <c r="D54" s="25"/>
      <c r="E54" s="25"/>
      <c r="F54" s="25"/>
      <c r="G54" s="25"/>
      <c r="H54" s="25"/>
      <c r="I54" s="25"/>
      <c r="J54" s="25"/>
      <c r="K54" s="25"/>
      <c r="L54" s="25"/>
      <c r="M54" s="25"/>
      <c r="N54" s="25"/>
      <c r="O54" s="25"/>
      <c r="P54" s="25"/>
      <c r="Q54" s="25"/>
      <c r="R54" s="25"/>
      <c r="S54" s="25"/>
    </row>
    <row r="55" spans="1:19" x14ac:dyDescent="0.2">
      <c r="A55" s="25"/>
      <c r="B55" s="25"/>
      <c r="C55" s="25"/>
      <c r="D55" s="25"/>
      <c r="E55" s="25"/>
      <c r="F55" s="25"/>
      <c r="G55" s="25"/>
      <c r="H55" s="25"/>
      <c r="I55" s="25"/>
      <c r="J55" s="25"/>
      <c r="K55" s="25"/>
      <c r="L55" s="25"/>
      <c r="M55" s="25"/>
      <c r="N55" s="25"/>
      <c r="O55" s="25"/>
      <c r="P55" s="25"/>
      <c r="Q55" s="25"/>
      <c r="R55" s="25"/>
      <c r="S55" s="25"/>
    </row>
  </sheetData>
  <sheetProtection password="D809" sheet="1" objects="1" scenarios="1" selectLockedCells="1"/>
  <mergeCells count="5">
    <mergeCell ref="B25:F32"/>
    <mergeCell ref="G3:J3"/>
    <mergeCell ref="B21:D21"/>
    <mergeCell ref="B22:D22"/>
    <mergeCell ref="B23:D23"/>
  </mergeCells>
  <phoneticPr fontId="15" type="noConversion"/>
  <conditionalFormatting sqref="D11:D14">
    <cfRule type="cellIs" dxfId="81" priority="1" stopIfTrue="1" operator="equal">
      <formula>"kilograms"</formula>
    </cfRule>
  </conditionalFormatting>
  <conditionalFormatting sqref="C3">
    <cfRule type="cellIs" dxfId="80" priority="2" stopIfTrue="1" operator="equal">
      <formula>"METER"</formula>
    </cfRule>
  </conditionalFormatting>
  <conditionalFormatting sqref="D3">
    <cfRule type="cellIs" dxfId="79" priority="3" stopIfTrue="1" operator="equal">
      <formula>"cm"</formula>
    </cfRule>
  </conditionalFormatting>
  <conditionalFormatting sqref="C4:F9">
    <cfRule type="expression" dxfId="78" priority="4" stopIfTrue="1">
      <formula>(MASTERSWITCH=1)</formula>
    </cfRule>
  </conditionalFormatting>
  <conditionalFormatting sqref="B21:D23">
    <cfRule type="expression" dxfId="77" priority="5" stopIfTrue="1">
      <formula>(MASTERSWITCH=1)</formula>
    </cfRule>
  </conditionalFormatting>
  <printOptions horizontalCentered="1"/>
  <pageMargins left="0.75" right="0.75" top="1.75" bottom="1.5" header="0.5" footer="0.5"/>
  <pageSetup scale="76" orientation="portrait" horizontalDpi="300" verticalDpi="30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5304" r:id="rId5" name="Option Button 8">
              <controlPr locked="0" defaultSize="0" autoFill="0" autoLine="0" autoPict="0">
                <anchor moveWithCells="1" sizeWithCells="1">
                  <from>
                    <xdr:col>4</xdr:col>
                    <xdr:colOff>114300</xdr:colOff>
                    <xdr:row>1</xdr:row>
                    <xdr:rowOff>152400</xdr:rowOff>
                  </from>
                  <to>
                    <xdr:col>4</xdr:col>
                    <xdr:colOff>552450</xdr:colOff>
                    <xdr:row>2</xdr:row>
                    <xdr:rowOff>28575</xdr:rowOff>
                  </to>
                </anchor>
              </controlPr>
            </control>
          </mc:Choice>
        </mc:AlternateContent>
        <mc:AlternateContent xmlns:mc="http://schemas.openxmlformats.org/markup-compatibility/2006">
          <mc:Choice Requires="x14">
            <control shapeId="55305" r:id="rId6" name="Option Button 9">
              <controlPr locked="0" defaultSize="0" autoFill="0" autoLine="0" autoPict="0">
                <anchor moveWithCells="1" sizeWithCells="1">
                  <from>
                    <xdr:col>4</xdr:col>
                    <xdr:colOff>533400</xdr:colOff>
                    <xdr:row>1</xdr:row>
                    <xdr:rowOff>152400</xdr:rowOff>
                  </from>
                  <to>
                    <xdr:col>5</xdr:col>
                    <xdr:colOff>466725</xdr:colOff>
                    <xdr:row>2</xdr:row>
                    <xdr:rowOff>28575</xdr:rowOff>
                  </to>
                </anchor>
              </controlPr>
            </control>
          </mc:Choice>
        </mc:AlternateContent>
        <mc:AlternateContent xmlns:mc="http://schemas.openxmlformats.org/markup-compatibility/2006">
          <mc:Choice Requires="x14">
            <control shapeId="55306" r:id="rId7" name="Group Box 10">
              <controlPr locked="0" defaultSize="0" autoFill="0" autoPict="0">
                <anchor moveWithCells="1" sizeWithCells="1">
                  <from>
                    <xdr:col>4</xdr:col>
                    <xdr:colOff>76200</xdr:colOff>
                    <xdr:row>1</xdr:row>
                    <xdr:rowOff>114300</xdr:rowOff>
                  </from>
                  <to>
                    <xdr:col>5</xdr:col>
                    <xdr:colOff>542925</xdr:colOff>
                    <xdr:row>2</xdr:row>
                    <xdr:rowOff>28575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K38"/>
  <sheetViews>
    <sheetView showRowColHeaders="0" workbookViewId="0">
      <selection activeCell="C7" sqref="C7"/>
    </sheetView>
  </sheetViews>
  <sheetFormatPr defaultRowHeight="12.75" x14ac:dyDescent="0.2"/>
  <cols>
    <col min="1" max="1" width="17.5703125" style="25" customWidth="1"/>
    <col min="2" max="2" width="18.7109375" style="25" customWidth="1"/>
    <col min="3" max="3" width="10.7109375" style="25" customWidth="1"/>
    <col min="4" max="4" width="11.85546875" style="25" customWidth="1"/>
    <col min="5" max="5" width="9.140625" style="25"/>
    <col min="6" max="6" width="10.7109375" style="25" customWidth="1"/>
    <col min="7" max="16384" width="9.140625" style="25"/>
  </cols>
  <sheetData>
    <row r="1" spans="1:6" x14ac:dyDescent="0.2">
      <c r="A1" s="603"/>
      <c r="B1" s="603"/>
      <c r="E1" s="35">
        <v>1</v>
      </c>
    </row>
    <row r="2" spans="1:6" ht="23.25" customHeight="1" x14ac:dyDescent="0.2"/>
    <row r="3" spans="1:6" ht="15.75" thickBot="1" x14ac:dyDescent="0.3">
      <c r="B3" s="70"/>
      <c r="C3" s="45" t="str">
        <f>IF(E1=1,"FEET","METER")</f>
        <v>FEET</v>
      </c>
      <c r="D3" s="45" t="str">
        <f>IF(E1=1,"inches","cm")</f>
        <v>inches</v>
      </c>
      <c r="E3" s="52"/>
      <c r="F3" s="52"/>
    </row>
    <row r="4" spans="1:6" ht="15.75" thickBot="1" x14ac:dyDescent="0.3">
      <c r="B4" s="401" t="s">
        <v>2064</v>
      </c>
      <c r="C4" s="361">
        <v>2</v>
      </c>
      <c r="D4" s="397">
        <v>3</v>
      </c>
      <c r="E4" s="402">
        <f>IF($E$1=1,((C4*12)+D4),((C4*100)+(D4)))</f>
        <v>27</v>
      </c>
      <c r="F4" s="393" t="str">
        <f>IF($E$1=1," inches"," centimeters")</f>
        <v xml:space="preserve"> inches</v>
      </c>
    </row>
    <row r="5" spans="1:6" ht="15.75" thickBot="1" x14ac:dyDescent="0.3">
      <c r="B5" s="401" t="s">
        <v>2065</v>
      </c>
      <c r="C5" s="361">
        <v>3</v>
      </c>
      <c r="D5" s="361">
        <v>6</v>
      </c>
      <c r="E5" s="402">
        <f>IF($E$1=1,((C5*12)+D5),((C5*100)+(D5)))</f>
        <v>42</v>
      </c>
      <c r="F5" s="393" t="str">
        <f>IF($E$1=1," inches"," centimeters")</f>
        <v xml:space="preserve"> inches</v>
      </c>
    </row>
    <row r="6" spans="1:6" ht="15.75" thickBot="1" x14ac:dyDescent="0.3">
      <c r="B6" s="401" t="s">
        <v>1105</v>
      </c>
      <c r="C6" s="575">
        <f>E4+E5</f>
        <v>69</v>
      </c>
      <c r="D6" s="576" t="str">
        <f>IF($E$1=1," inches"," centimeters")</f>
        <v xml:space="preserve"> inches</v>
      </c>
      <c r="E6" s="408"/>
      <c r="F6" s="400"/>
    </row>
    <row r="7" spans="1:6" ht="15.75" thickBot="1" x14ac:dyDescent="0.3">
      <c r="B7" s="401" t="s">
        <v>1999</v>
      </c>
      <c r="C7" s="361">
        <v>1</v>
      </c>
      <c r="D7" s="361">
        <v>4</v>
      </c>
      <c r="E7" s="407">
        <f>IF($E$1=1,((C7*12)+D7),((C7*100)+(D7)))</f>
        <v>16</v>
      </c>
      <c r="F7" s="400" t="str">
        <f>IF($E$1=1," inches"," centimeters")</f>
        <v xml:space="preserve"> inches</v>
      </c>
    </row>
    <row r="8" spans="1:6" ht="15" x14ac:dyDescent="0.25">
      <c r="B8" s="401" t="s">
        <v>1103</v>
      </c>
      <c r="C8" s="577">
        <f>SQRT(((E4*E4)+(E7*E7)))</f>
        <v>31.384709652950431</v>
      </c>
      <c r="D8" s="578" t="str">
        <f>IF($E$1=1," inches"," centimeters")</f>
        <v xml:space="preserve"> inches</v>
      </c>
      <c r="E8" s="408"/>
      <c r="F8" s="400"/>
    </row>
    <row r="9" spans="1:6" ht="15" x14ac:dyDescent="0.25">
      <c r="B9" s="401" t="s">
        <v>1104</v>
      </c>
      <c r="C9" s="577">
        <f>SQRT(((E5*E5)+(E7*E7)))</f>
        <v>44.944410108488462</v>
      </c>
      <c r="D9" s="578" t="str">
        <f>IF($E$1=1," inches"," centimeters")</f>
        <v xml:space="preserve"> inches</v>
      </c>
      <c r="E9" s="408"/>
      <c r="F9" s="400"/>
    </row>
    <row r="10" spans="1:6" ht="13.5" thickBot="1" x14ac:dyDescent="0.25">
      <c r="E10" s="408"/>
      <c r="F10" s="400"/>
    </row>
    <row r="11" spans="1:6" ht="15.75" thickBot="1" x14ac:dyDescent="0.3">
      <c r="A11" s="70"/>
      <c r="B11" s="51" t="s">
        <v>1090</v>
      </c>
      <c r="C11" s="414">
        <v>2000</v>
      </c>
      <c r="D11" s="62" t="str">
        <f>IF($E$1=1,"lbs","kilograms")</f>
        <v>lbs</v>
      </c>
    </row>
    <row r="12" spans="1:6" ht="15.75" thickBot="1" x14ac:dyDescent="0.3">
      <c r="A12" s="70"/>
      <c r="B12" s="401"/>
      <c r="C12" s="43"/>
      <c r="D12" s="704"/>
    </row>
    <row r="13" spans="1:6" ht="15.75" thickBot="1" x14ac:dyDescent="0.3">
      <c r="A13" s="70"/>
      <c r="B13" s="51" t="s">
        <v>1101</v>
      </c>
      <c r="C13" s="572">
        <f>C11*(E5*C8)/(E7*(E4+E5))</f>
        <v>2387.9670388114455</v>
      </c>
      <c r="D13" s="416" t="str">
        <f>IF($E$1=1,"lbs","kilograms")</f>
        <v>lbs</v>
      </c>
      <c r="E13" s="573">
        <f>IF($E$1=1,C13/2000,C13/1000)</f>
        <v>1.1939835194057227</v>
      </c>
      <c r="F13" s="417" t="str">
        <f>IF($E$1=1,"tons","tons (metric)")</f>
        <v>tons</v>
      </c>
    </row>
    <row r="14" spans="1:6" ht="15.75" thickBot="1" x14ac:dyDescent="0.3">
      <c r="A14" s="70"/>
      <c r="B14" s="51" t="s">
        <v>1102</v>
      </c>
      <c r="C14" s="572">
        <f>C11*(E4*C9)/(E7*(E4+E5))</f>
        <v>2198.3678857412838</v>
      </c>
      <c r="D14" s="418" t="str">
        <f>IF($E$1=1,"lbs","kilograms")</f>
        <v>lbs</v>
      </c>
      <c r="E14" s="574">
        <f>IF($E$1=1,C14/2000,C14/1000)</f>
        <v>1.0991839428706418</v>
      </c>
      <c r="F14" s="419" t="str">
        <f>IF($E$1=1,"tons","tons (metric)")</f>
        <v>tons</v>
      </c>
    </row>
    <row r="16" spans="1:6" x14ac:dyDescent="0.2">
      <c r="B16" s="66"/>
    </row>
    <row r="17" spans="2:11" x14ac:dyDescent="0.2">
      <c r="B17" s="66"/>
    </row>
    <row r="18" spans="2:11" x14ac:dyDescent="0.2">
      <c r="D18" s="56"/>
    </row>
    <row r="19" spans="2:11" x14ac:dyDescent="0.2">
      <c r="B19" s="405"/>
      <c r="C19" s="377"/>
      <c r="D19" s="377"/>
    </row>
    <row r="20" spans="2:11" x14ac:dyDescent="0.2">
      <c r="B20" s="378"/>
      <c r="C20" s="379"/>
      <c r="D20" s="70"/>
      <c r="E20" s="379"/>
    </row>
    <row r="21" spans="2:11" ht="15" x14ac:dyDescent="0.25">
      <c r="B21" s="379"/>
      <c r="C21" s="70"/>
      <c r="D21" s="406"/>
      <c r="E21" s="379"/>
    </row>
    <row r="22" spans="2:11" x14ac:dyDescent="0.2">
      <c r="B22" s="70"/>
      <c r="C22" s="887" t="str">
        <f>IF(MASTERSWITCH=1,"EVALUATION PERIOD EXPIRED!","")</f>
        <v/>
      </c>
      <c r="D22" s="887"/>
      <c r="E22" s="887"/>
    </row>
    <row r="23" spans="2:11" x14ac:dyDescent="0.2">
      <c r="B23" s="633"/>
      <c r="C23" s="887" t="str">
        <f>IF(MASTERSWITCH=1,"PLEASE PURCHASE LICENSE TO","")</f>
        <v/>
      </c>
      <c r="D23" s="887"/>
      <c r="E23" s="887"/>
    </row>
    <row r="24" spans="2:11" x14ac:dyDescent="0.2">
      <c r="C24" s="887" t="str">
        <f>IF(MASTERSWITCH=1,"CONTINUE USING THIS PROGRAM","")</f>
        <v/>
      </c>
      <c r="D24" s="887"/>
      <c r="E24" s="887"/>
    </row>
    <row r="25" spans="2:11" x14ac:dyDescent="0.2">
      <c r="B25" s="25" t="s">
        <v>1817</v>
      </c>
    </row>
    <row r="26" spans="2:11" ht="15" customHeight="1" x14ac:dyDescent="0.2">
      <c r="B26" s="936"/>
      <c r="C26" s="937"/>
      <c r="D26" s="937"/>
      <c r="E26" s="937"/>
      <c r="F26" s="937"/>
      <c r="G26" s="937"/>
      <c r="H26" s="937"/>
      <c r="I26" s="937"/>
      <c r="J26" s="937"/>
      <c r="K26" s="938"/>
    </row>
    <row r="27" spans="2:11" x14ac:dyDescent="0.2">
      <c r="B27" s="939"/>
      <c r="C27" s="940"/>
      <c r="D27" s="940"/>
      <c r="E27" s="940"/>
      <c r="F27" s="940"/>
      <c r="G27" s="940"/>
      <c r="H27" s="940"/>
      <c r="I27" s="940"/>
      <c r="J27" s="940"/>
      <c r="K27" s="941"/>
    </row>
    <row r="28" spans="2:11" x14ac:dyDescent="0.2">
      <c r="B28" s="939"/>
      <c r="C28" s="940"/>
      <c r="D28" s="940"/>
      <c r="E28" s="940"/>
      <c r="F28" s="940"/>
      <c r="G28" s="940"/>
      <c r="H28" s="940"/>
      <c r="I28" s="940"/>
      <c r="J28" s="940"/>
      <c r="K28" s="941"/>
    </row>
    <row r="29" spans="2:11" ht="15" customHeight="1" x14ac:dyDescent="0.2">
      <c r="B29" s="939"/>
      <c r="C29" s="940"/>
      <c r="D29" s="940"/>
      <c r="E29" s="940"/>
      <c r="F29" s="940"/>
      <c r="G29" s="940"/>
      <c r="H29" s="940"/>
      <c r="I29" s="940"/>
      <c r="J29" s="940"/>
      <c r="K29" s="941"/>
    </row>
    <row r="30" spans="2:11" ht="15" customHeight="1" x14ac:dyDescent="0.2">
      <c r="B30" s="939"/>
      <c r="C30" s="940"/>
      <c r="D30" s="940"/>
      <c r="E30" s="940"/>
      <c r="F30" s="940"/>
      <c r="G30" s="940"/>
      <c r="H30" s="940"/>
      <c r="I30" s="940"/>
      <c r="J30" s="940"/>
      <c r="K30" s="941"/>
    </row>
    <row r="31" spans="2:11" ht="15" customHeight="1" x14ac:dyDescent="0.2">
      <c r="B31" s="942"/>
      <c r="C31" s="943"/>
      <c r="D31" s="943"/>
      <c r="E31" s="943"/>
      <c r="F31" s="943"/>
      <c r="G31" s="943"/>
      <c r="H31" s="943"/>
      <c r="I31" s="943"/>
      <c r="J31" s="943"/>
      <c r="K31" s="944"/>
    </row>
    <row r="32" spans="2:11" ht="15" x14ac:dyDescent="0.25">
      <c r="B32" s="70"/>
      <c r="C32" s="70"/>
      <c r="D32" s="387"/>
      <c r="E32" s="410"/>
      <c r="F32" s="70"/>
      <c r="G32" s="409"/>
    </row>
    <row r="33" spans="2:7" ht="15" x14ac:dyDescent="0.25">
      <c r="B33" s="70"/>
      <c r="C33" s="387"/>
      <c r="D33" s="720"/>
      <c r="E33" s="721"/>
      <c r="F33" s="70"/>
      <c r="G33" s="409"/>
    </row>
    <row r="34" spans="2:7" x14ac:dyDescent="0.2">
      <c r="B34" s="70"/>
      <c r="C34" s="70"/>
      <c r="D34" s="70"/>
      <c r="E34" s="70"/>
      <c r="F34" s="70"/>
      <c r="G34" s="70"/>
    </row>
    <row r="35" spans="2:7" x14ac:dyDescent="0.2">
      <c r="B35" s="70"/>
      <c r="C35" s="70"/>
      <c r="D35" s="411"/>
      <c r="E35" s="411"/>
      <c r="F35" s="70"/>
      <c r="G35" s="70"/>
    </row>
    <row r="36" spans="2:7" ht="15" x14ac:dyDescent="0.25">
      <c r="B36" s="412"/>
      <c r="C36" s="379"/>
      <c r="D36" s="380"/>
      <c r="E36" s="413"/>
      <c r="F36" s="70"/>
      <c r="G36" s="70"/>
    </row>
    <row r="37" spans="2:7" ht="15" x14ac:dyDescent="0.25">
      <c r="B37" s="412"/>
      <c r="C37" s="369"/>
      <c r="D37" s="380"/>
      <c r="E37" s="413"/>
      <c r="F37" s="70"/>
      <c r="G37" s="70"/>
    </row>
    <row r="38" spans="2:7" x14ac:dyDescent="0.2">
      <c r="B38" s="70"/>
      <c r="C38" s="70"/>
      <c r="D38" s="70"/>
      <c r="E38" s="70"/>
      <c r="F38" s="70"/>
      <c r="G38" s="70"/>
    </row>
  </sheetData>
  <sheetProtection password="D809" sheet="1" objects="1" scenarios="1" selectLockedCells="1"/>
  <mergeCells count="4">
    <mergeCell ref="B26:K31"/>
    <mergeCell ref="C22:E22"/>
    <mergeCell ref="C23:E23"/>
    <mergeCell ref="C24:E24"/>
  </mergeCells>
  <phoneticPr fontId="15" type="noConversion"/>
  <conditionalFormatting sqref="D11 D13:D14">
    <cfRule type="cellIs" dxfId="76" priority="1" stopIfTrue="1" operator="equal">
      <formula>"kilograms"</formula>
    </cfRule>
  </conditionalFormatting>
  <conditionalFormatting sqref="C3">
    <cfRule type="cellIs" dxfId="75" priority="2" stopIfTrue="1" operator="equal">
      <formula>"METER"</formula>
    </cfRule>
  </conditionalFormatting>
  <conditionalFormatting sqref="D3">
    <cfRule type="cellIs" dxfId="74" priority="3" stopIfTrue="1" operator="equal">
      <formula>"cm"</formula>
    </cfRule>
  </conditionalFormatting>
  <conditionalFormatting sqref="C4:D5 C7:D7 C8:C14 E13:E14">
    <cfRule type="expression" dxfId="73" priority="4" stopIfTrue="1">
      <formula>(MASTERSWITCH=1)</formula>
    </cfRule>
  </conditionalFormatting>
  <conditionalFormatting sqref="C22:E24">
    <cfRule type="expression" dxfId="72" priority="5" stopIfTrue="1">
      <formula>(MASTERSWITCH=1)</formula>
    </cfRule>
  </conditionalFormatting>
  <printOptions horizontalCentered="1"/>
  <pageMargins left="0.75" right="0.75" top="1.75" bottom="1.5" header="0.5" footer="0.5"/>
  <pageSetup scale="77" orientation="portrait" horizontalDpi="0" verticalDpi="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1513" r:id="rId5" name="Option Button 9">
              <controlPr locked="0" defaultSize="0" autoFill="0" autoLine="0" autoPict="0">
                <anchor moveWithCells="1" sizeWithCells="1">
                  <from>
                    <xdr:col>4</xdr:col>
                    <xdr:colOff>161925</xdr:colOff>
                    <xdr:row>1</xdr:row>
                    <xdr:rowOff>152400</xdr:rowOff>
                  </from>
                  <to>
                    <xdr:col>5</xdr:col>
                    <xdr:colOff>28575</xdr:colOff>
                    <xdr:row>2</xdr:row>
                    <xdr:rowOff>47625</xdr:rowOff>
                  </to>
                </anchor>
              </controlPr>
            </control>
          </mc:Choice>
        </mc:AlternateContent>
        <mc:AlternateContent xmlns:mc="http://schemas.openxmlformats.org/markup-compatibility/2006">
          <mc:Choice Requires="x14">
            <control shapeId="21514" r:id="rId6" name="Option Button 10">
              <controlPr locked="0" defaultSize="0" autoFill="0" autoLine="0" autoPict="0">
                <anchor moveWithCells="1" sizeWithCells="1">
                  <from>
                    <xdr:col>5</xdr:col>
                    <xdr:colOff>9525</xdr:colOff>
                    <xdr:row>1</xdr:row>
                    <xdr:rowOff>152400</xdr:rowOff>
                  </from>
                  <to>
                    <xdr:col>5</xdr:col>
                    <xdr:colOff>600075</xdr:colOff>
                    <xdr:row>2</xdr:row>
                    <xdr:rowOff>47625</xdr:rowOff>
                  </to>
                </anchor>
              </controlPr>
            </control>
          </mc:Choice>
        </mc:AlternateContent>
        <mc:AlternateContent xmlns:mc="http://schemas.openxmlformats.org/markup-compatibility/2006">
          <mc:Choice Requires="x14">
            <control shapeId="21515" r:id="rId7" name="Group Box 11">
              <controlPr locked="0" defaultSize="0" autoFill="0" autoPict="0">
                <anchor moveWithCells="1" sizeWithCells="1">
                  <from>
                    <xdr:col>4</xdr:col>
                    <xdr:colOff>123825</xdr:colOff>
                    <xdr:row>1</xdr:row>
                    <xdr:rowOff>114300</xdr:rowOff>
                  </from>
                  <to>
                    <xdr:col>5</xdr:col>
                    <xdr:colOff>685800</xdr:colOff>
                    <xdr:row>2</xdr:row>
                    <xdr:rowOff>47625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pageSetUpPr fitToPage="1"/>
  </sheetPr>
  <dimension ref="B1:O35"/>
  <sheetViews>
    <sheetView showRowColHeaders="0" workbookViewId="0">
      <selection activeCell="C6" sqref="C6"/>
    </sheetView>
  </sheetViews>
  <sheetFormatPr defaultRowHeight="12.75" x14ac:dyDescent="0.2"/>
  <cols>
    <col min="1" max="1" width="13.5703125" style="25" customWidth="1"/>
    <col min="2" max="2" width="18" style="25" customWidth="1"/>
    <col min="3" max="3" width="10.28515625" style="25" customWidth="1"/>
    <col min="4" max="4" width="10.42578125" style="25" bestFit="1" customWidth="1"/>
    <col min="5" max="5" width="9.7109375" style="25" customWidth="1"/>
    <col min="6" max="6" width="11.42578125" style="25" customWidth="1"/>
    <col min="7" max="7" width="7.28515625" style="25" customWidth="1"/>
    <col min="8" max="8" width="11.42578125" style="25" customWidth="1"/>
    <col min="9" max="9" width="9.140625" style="25"/>
    <col min="10" max="10" width="8.42578125" style="25" customWidth="1"/>
    <col min="11" max="11" width="8" style="25" customWidth="1"/>
    <col min="12" max="12" width="11.5703125" style="25" customWidth="1"/>
    <col min="13" max="16384" width="9.140625" style="25"/>
  </cols>
  <sheetData>
    <row r="1" spans="2:15" x14ac:dyDescent="0.2">
      <c r="B1"/>
      <c r="E1" s="222">
        <v>1</v>
      </c>
      <c r="H1" s="65"/>
    </row>
    <row r="2" spans="2:15" x14ac:dyDescent="0.2">
      <c r="H2" s="65"/>
      <c r="K2" s="582">
        <f>(E4+E5)</f>
        <v>146</v>
      </c>
      <c r="L2" s="25" t="str">
        <f>IF($E$1=1,"inches","centimeters")</f>
        <v>inches</v>
      </c>
    </row>
    <row r="3" spans="2:15" ht="20.25" customHeight="1" thickBot="1" x14ac:dyDescent="0.3">
      <c r="C3" s="45" t="str">
        <f>IF(E1=1,"FEET","METER")</f>
        <v>FEET</v>
      </c>
      <c r="D3" s="45" t="str">
        <f>IF(E1=1,"inches","cm")</f>
        <v>inches</v>
      </c>
      <c r="E3" s="52"/>
      <c r="F3" s="52"/>
    </row>
    <row r="4" spans="2:15" ht="15.75" thickBot="1" x14ac:dyDescent="0.3">
      <c r="B4" s="28" t="s">
        <v>2064</v>
      </c>
      <c r="C4" s="361">
        <v>2</v>
      </c>
      <c r="D4" s="361">
        <v>6</v>
      </c>
      <c r="E4" s="392">
        <f>IF($E$1=1,((C4*12)+D4),((C4*100)+(D4)))</f>
        <v>30</v>
      </c>
      <c r="F4" s="393" t="str">
        <f>IF($E$1=1," inches"," centimeters")</f>
        <v xml:space="preserve"> inches</v>
      </c>
    </row>
    <row r="5" spans="2:15" ht="15.75" thickBot="1" x14ac:dyDescent="0.3">
      <c r="B5" s="28" t="s">
        <v>2065</v>
      </c>
      <c r="C5" s="361">
        <v>9</v>
      </c>
      <c r="D5" s="361">
        <v>8</v>
      </c>
      <c r="E5" s="394">
        <f>IF($E$1=1,((C5*12)+D5),((C5*100)+(D5)))</f>
        <v>116</v>
      </c>
      <c r="F5" s="395" t="str">
        <f>IF($E$1=1," inches"," centimeters")</f>
        <v xml:space="preserve"> inches</v>
      </c>
      <c r="O5" s="384"/>
    </row>
    <row r="6" spans="2:15" ht="15.75" thickBot="1" x14ac:dyDescent="0.3">
      <c r="B6" s="28" t="s">
        <v>1999</v>
      </c>
      <c r="C6" s="361">
        <v>3</v>
      </c>
      <c r="D6" s="361">
        <v>4</v>
      </c>
      <c r="E6" s="394">
        <f>IF($E$1=1,((C6*12)+D6),((C6*100)+(D6)))</f>
        <v>40</v>
      </c>
      <c r="F6" s="395" t="str">
        <f>IF($E$1=1," inches"," centimeters")</f>
        <v xml:space="preserve"> inches</v>
      </c>
      <c r="J6" s="581">
        <f>IF($E$1=1,((C6*12)+D6),((C6*100)+(D6)))</f>
        <v>40</v>
      </c>
      <c r="O6" s="384"/>
    </row>
    <row r="7" spans="2:15" ht="15.75" thickBot="1" x14ac:dyDescent="0.3">
      <c r="B7" s="648" t="s">
        <v>1085</v>
      </c>
      <c r="C7" s="389">
        <v>907</v>
      </c>
      <c r="D7" s="27" t="str">
        <f>IF($E$1=1,"lbs","kilograms")</f>
        <v>lbs</v>
      </c>
      <c r="E7" s="52"/>
      <c r="F7" s="54"/>
      <c r="J7" s="388" t="str">
        <f>IF($E$1=1,"in","cm")</f>
        <v>in</v>
      </c>
    </row>
    <row r="9" spans="2:15" ht="13.5" thickBot="1" x14ac:dyDescent="0.25"/>
    <row r="10" spans="2:15" ht="15.75" thickBot="1" x14ac:dyDescent="0.3">
      <c r="B10" s="67" t="s">
        <v>2066</v>
      </c>
      <c r="C10" s="583">
        <f>SQRT(((E4*E4)+(E6*E6)))</f>
        <v>50</v>
      </c>
      <c r="D10" s="390" t="str">
        <f>IF($E$1=1,"inches","centimeters")</f>
        <v>inches</v>
      </c>
      <c r="E10" s="383"/>
    </row>
    <row r="11" spans="2:15" ht="15.75" thickBot="1" x14ac:dyDescent="0.3">
      <c r="B11" s="67" t="s">
        <v>2067</v>
      </c>
      <c r="C11" s="583">
        <f>SQRT(((E5*E5)+(E6*E6)))</f>
        <v>122.70289320142373</v>
      </c>
      <c r="D11" s="390" t="str">
        <f>IF($E$1=1,"inches","centimeters")</f>
        <v>inches</v>
      </c>
      <c r="E11" s="383"/>
    </row>
    <row r="13" spans="2:15" x14ac:dyDescent="0.2">
      <c r="H13" s="580">
        <f>D16</f>
        <v>900.78767123287673</v>
      </c>
      <c r="L13" s="580">
        <f>D18</f>
        <v>571.70303493334586</v>
      </c>
    </row>
    <row r="14" spans="2:15" x14ac:dyDescent="0.2">
      <c r="B14" s="382" t="s">
        <v>1083</v>
      </c>
      <c r="C14" s="382"/>
      <c r="D14" s="382"/>
      <c r="E14" s="382"/>
      <c r="H14" s="391" t="str">
        <f>IF($E$1=1,"lbs","kgs")</f>
        <v>lbs</v>
      </c>
      <c r="L14" s="391" t="str">
        <f>IF($E$1=1,"lbs","kgs")</f>
        <v>lbs</v>
      </c>
    </row>
    <row r="15" spans="2:15" x14ac:dyDescent="0.2">
      <c r="B15" s="70"/>
      <c r="C15" s="70"/>
      <c r="D15" s="213"/>
      <c r="E15" s="70"/>
    </row>
    <row r="16" spans="2:15" ht="15" x14ac:dyDescent="0.25">
      <c r="B16" s="362" t="s">
        <v>1086</v>
      </c>
      <c r="C16" s="379"/>
      <c r="D16" s="584">
        <f>C7*(E5*C10)/(E6*(E4+E5))</f>
        <v>900.78767123287673</v>
      </c>
      <c r="E16" s="420" t="str">
        <f>IF($E$1=1,"lbs","kilograms")</f>
        <v>lbs</v>
      </c>
      <c r="F16" s="573">
        <f>IF($E$1=1,D16/2000,D16/1000)</f>
        <v>0.45039383561643836</v>
      </c>
      <c r="G16" s="417" t="str">
        <f>IF($E$1=1,"tons","tons (m)")</f>
        <v>tons</v>
      </c>
    </row>
    <row r="17" spans="2:12" ht="14.25" x14ac:dyDescent="0.2">
      <c r="E17" s="390"/>
      <c r="F17" s="415"/>
      <c r="G17" s="244"/>
    </row>
    <row r="18" spans="2:12" ht="15" x14ac:dyDescent="0.25">
      <c r="B18" s="381" t="s">
        <v>1089</v>
      </c>
      <c r="C18" s="379"/>
      <c r="D18" s="584">
        <f>C7*(E4*C11)/(E6*(E4+E5))</f>
        <v>571.70303493334586</v>
      </c>
      <c r="E18" s="420" t="str">
        <f>IF($E$1=1,"lbs","kilograms")</f>
        <v>lbs</v>
      </c>
      <c r="F18" s="573">
        <f>IF($E$1=1,D18/2000,D18/1000)</f>
        <v>0.28585151746667292</v>
      </c>
      <c r="G18" s="417" t="str">
        <f>IF($E$1=1,"tons","tons (m)")</f>
        <v>tons</v>
      </c>
    </row>
    <row r="20" spans="2:12" ht="20.25" customHeight="1" x14ac:dyDescent="0.2"/>
    <row r="21" spans="2:12" ht="15" x14ac:dyDescent="0.25">
      <c r="J21" s="935" t="s">
        <v>1084</v>
      </c>
      <c r="K21" s="935"/>
      <c r="L21" s="935"/>
    </row>
    <row r="22" spans="2:12" x14ac:dyDescent="0.2">
      <c r="C22" s="385"/>
      <c r="D22" s="70"/>
      <c r="E22" s="379"/>
    </row>
    <row r="23" spans="2:12" x14ac:dyDescent="0.2">
      <c r="C23" s="70"/>
      <c r="D23" s="386"/>
      <c r="E23" s="386"/>
    </row>
    <row r="24" spans="2:12" ht="15" x14ac:dyDescent="0.25">
      <c r="C24" s="387"/>
      <c r="D24" s="720"/>
      <c r="E24" s="721"/>
    </row>
    <row r="25" spans="2:12" x14ac:dyDescent="0.2">
      <c r="C25" s="887" t="str">
        <f>IF(MASTERSWITCH=1,"EVALUATION PERIOD EXPIRED!","")</f>
        <v/>
      </c>
      <c r="D25" s="887"/>
      <c r="E25" s="887"/>
    </row>
    <row r="26" spans="2:12" x14ac:dyDescent="0.2">
      <c r="B26" s="633"/>
      <c r="C26" s="887" t="str">
        <f>IF(MASTERSWITCH=1,"PLEASE PURCHASE LICENSE TO","")</f>
        <v/>
      </c>
      <c r="D26" s="887"/>
      <c r="E26" s="887"/>
      <c r="G26" s="68"/>
    </row>
    <row r="27" spans="2:12" x14ac:dyDescent="0.2">
      <c r="C27" s="887" t="str">
        <f>IF(MASTERSWITCH=1,"CONTINUE USING THIS PROGRAM","")</f>
        <v/>
      </c>
      <c r="D27" s="887"/>
      <c r="E27" s="887"/>
      <c r="G27" s="68"/>
    </row>
    <row r="28" spans="2:12" ht="15" x14ac:dyDescent="0.25">
      <c r="B28" s="25" t="s">
        <v>1817</v>
      </c>
      <c r="C28" s="387"/>
      <c r="D28" s="720"/>
      <c r="E28" s="721"/>
    </row>
    <row r="29" spans="2:12" x14ac:dyDescent="0.2">
      <c r="B29" s="936"/>
      <c r="C29" s="937"/>
      <c r="D29" s="937"/>
      <c r="E29" s="937"/>
      <c r="F29" s="937"/>
      <c r="G29" s="937"/>
      <c r="H29" s="937"/>
      <c r="I29" s="937"/>
      <c r="J29" s="937"/>
      <c r="K29" s="937"/>
      <c r="L29" s="938"/>
    </row>
    <row r="30" spans="2:12" x14ac:dyDescent="0.2">
      <c r="B30" s="939"/>
      <c r="C30" s="940"/>
      <c r="D30" s="940"/>
      <c r="E30" s="940"/>
      <c r="F30" s="940"/>
      <c r="G30" s="940"/>
      <c r="H30" s="940"/>
      <c r="I30" s="940"/>
      <c r="J30" s="940"/>
      <c r="K30" s="940"/>
      <c r="L30" s="941"/>
    </row>
    <row r="31" spans="2:12" x14ac:dyDescent="0.2">
      <c r="B31" s="939"/>
      <c r="C31" s="940"/>
      <c r="D31" s="940"/>
      <c r="E31" s="940"/>
      <c r="F31" s="940"/>
      <c r="G31" s="940"/>
      <c r="H31" s="940"/>
      <c r="I31" s="940"/>
      <c r="J31" s="940"/>
      <c r="K31" s="940"/>
      <c r="L31" s="941"/>
    </row>
    <row r="32" spans="2:12" x14ac:dyDescent="0.2">
      <c r="B32" s="939"/>
      <c r="C32" s="940"/>
      <c r="D32" s="940"/>
      <c r="E32" s="940"/>
      <c r="F32" s="940"/>
      <c r="G32" s="940"/>
      <c r="H32" s="940"/>
      <c r="I32" s="940"/>
      <c r="J32" s="940"/>
      <c r="K32" s="940"/>
      <c r="L32" s="941"/>
    </row>
    <row r="33" spans="2:12" x14ac:dyDescent="0.2">
      <c r="B33" s="939"/>
      <c r="C33" s="940"/>
      <c r="D33" s="940"/>
      <c r="E33" s="940"/>
      <c r="F33" s="940"/>
      <c r="G33" s="940"/>
      <c r="H33" s="940"/>
      <c r="I33" s="940"/>
      <c r="J33" s="940"/>
      <c r="K33" s="940"/>
      <c r="L33" s="941"/>
    </row>
    <row r="34" spans="2:12" x14ac:dyDescent="0.2">
      <c r="B34" s="939"/>
      <c r="C34" s="940"/>
      <c r="D34" s="940"/>
      <c r="E34" s="940"/>
      <c r="F34" s="940"/>
      <c r="G34" s="940"/>
      <c r="H34" s="940"/>
      <c r="I34" s="940"/>
      <c r="J34" s="940"/>
      <c r="K34" s="940"/>
      <c r="L34" s="941"/>
    </row>
    <row r="35" spans="2:12" x14ac:dyDescent="0.2">
      <c r="B35" s="942"/>
      <c r="C35" s="943"/>
      <c r="D35" s="943"/>
      <c r="E35" s="943"/>
      <c r="F35" s="943"/>
      <c r="G35" s="943"/>
      <c r="H35" s="943"/>
      <c r="I35" s="943"/>
      <c r="J35" s="943"/>
      <c r="K35" s="943"/>
      <c r="L35" s="944"/>
    </row>
  </sheetData>
  <sheetProtection password="D809" sheet="1" objects="1" scenarios="1" selectLockedCells="1"/>
  <mergeCells count="5">
    <mergeCell ref="J21:L21"/>
    <mergeCell ref="B29:L35"/>
    <mergeCell ref="C25:E25"/>
    <mergeCell ref="C26:E26"/>
    <mergeCell ref="C27:E27"/>
  </mergeCells>
  <phoneticPr fontId="15" type="noConversion"/>
  <conditionalFormatting sqref="C3">
    <cfRule type="cellIs" dxfId="71" priority="1" stopIfTrue="1" operator="equal">
      <formula>"METER"</formula>
    </cfRule>
  </conditionalFormatting>
  <conditionalFormatting sqref="D3 J7">
    <cfRule type="cellIs" dxfId="70" priority="2" stopIfTrue="1" operator="equal">
      <formula>"cm"</formula>
    </cfRule>
  </conditionalFormatting>
  <conditionalFormatting sqref="D7 E16 E18">
    <cfRule type="cellIs" dxfId="69" priority="3" stopIfTrue="1" operator="equal">
      <formula>"kilograms"</formula>
    </cfRule>
  </conditionalFormatting>
  <conditionalFormatting sqref="H14 L14">
    <cfRule type="cellIs" dxfId="68" priority="4" stopIfTrue="1" operator="equal">
      <formula>"kgs"</formula>
    </cfRule>
  </conditionalFormatting>
  <conditionalFormatting sqref="C4:D6 C7 D16 F16 D18 F18 C10:C11">
    <cfRule type="expression" dxfId="67" priority="5" stopIfTrue="1">
      <formula>(MASTERSWITCH=1)</formula>
    </cfRule>
  </conditionalFormatting>
  <conditionalFormatting sqref="C25:E27">
    <cfRule type="expression" dxfId="66" priority="6" stopIfTrue="1">
      <formula>(MASTERSWITCH=1)</formula>
    </cfRule>
  </conditionalFormatting>
  <printOptions horizontalCentered="1"/>
  <pageMargins left="0.75" right="0.75" top="1.75" bottom="1.5" header="0.5" footer="0.5"/>
  <pageSetup scale="77" orientation="portrait" horizontalDpi="0" verticalDpi="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493" r:id="rId5" name="Option Button 13">
              <controlPr locked="0" defaultSize="0" autoFill="0" autoLine="0" autoPict="0">
                <anchor moveWithCells="1" sizeWithCells="1">
                  <from>
                    <xdr:col>4</xdr:col>
                    <xdr:colOff>161925</xdr:colOff>
                    <xdr:row>1</xdr:row>
                    <xdr:rowOff>123825</xdr:rowOff>
                  </from>
                  <to>
                    <xdr:col>5</xdr:col>
                    <xdr:colOff>19050</xdr:colOff>
                    <xdr:row>2</xdr:row>
                    <xdr:rowOff>123825</xdr:rowOff>
                  </to>
                </anchor>
              </controlPr>
            </control>
          </mc:Choice>
        </mc:AlternateContent>
        <mc:AlternateContent xmlns:mc="http://schemas.openxmlformats.org/markup-compatibility/2006">
          <mc:Choice Requires="x14">
            <control shapeId="20494" r:id="rId6" name="Option Button 14">
              <controlPr locked="0" defaultSize="0" autoFill="0" autoLine="0" autoPict="0">
                <anchor moveWithCells="1" sizeWithCells="1">
                  <from>
                    <xdr:col>5</xdr:col>
                    <xdr:colOff>0</xdr:colOff>
                    <xdr:row>1</xdr:row>
                    <xdr:rowOff>123825</xdr:rowOff>
                  </from>
                  <to>
                    <xdr:col>5</xdr:col>
                    <xdr:colOff>628650</xdr:colOff>
                    <xdr:row>2</xdr:row>
                    <xdr:rowOff>123825</xdr:rowOff>
                  </to>
                </anchor>
              </controlPr>
            </control>
          </mc:Choice>
        </mc:AlternateContent>
        <mc:AlternateContent xmlns:mc="http://schemas.openxmlformats.org/markup-compatibility/2006">
          <mc:Choice Requires="x14">
            <control shapeId="20495" r:id="rId7" name="Group Box 15">
              <controlPr locked="0" defaultSize="0" autoFill="0" autoPict="0">
                <anchor moveWithCells="1" sizeWithCells="1">
                  <from>
                    <xdr:col>4</xdr:col>
                    <xdr:colOff>114300</xdr:colOff>
                    <xdr:row>1</xdr:row>
                    <xdr:rowOff>85725</xdr:rowOff>
                  </from>
                  <to>
                    <xdr:col>5</xdr:col>
                    <xdr:colOff>714375</xdr:colOff>
                    <xdr:row>2</xdr:row>
                    <xdr:rowOff>123825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fitToPage="1"/>
  </sheetPr>
  <dimension ref="A1:I32"/>
  <sheetViews>
    <sheetView showRowColHeaders="0" tabSelected="1" workbookViewId="0"/>
  </sheetViews>
  <sheetFormatPr defaultRowHeight="12.75" x14ac:dyDescent="0.2"/>
  <cols>
    <col min="1" max="1" width="15" style="25" customWidth="1"/>
    <col min="2" max="2" width="15.85546875" style="25" customWidth="1"/>
    <col min="3" max="3" width="9.7109375" style="25" customWidth="1"/>
    <col min="4" max="4" width="14.140625" style="25" customWidth="1"/>
    <col min="5" max="5" width="15.5703125" style="25" customWidth="1"/>
    <col min="6" max="16384" width="9.140625" style="25"/>
  </cols>
  <sheetData>
    <row r="1" spans="1:9" x14ac:dyDescent="0.2">
      <c r="A1" s="35"/>
      <c r="B1"/>
      <c r="F1" s="55"/>
    </row>
    <row r="2" spans="1:9" ht="15" x14ac:dyDescent="0.25">
      <c r="B2" s="26"/>
      <c r="D2" s="524"/>
      <c r="E2" s="524"/>
      <c r="F2" s="525"/>
      <c r="G2" s="525"/>
      <c r="I2" s="27"/>
    </row>
    <row r="3" spans="1:9" ht="15.75" x14ac:dyDescent="0.2">
      <c r="B3" s="954" t="s">
        <v>309</v>
      </c>
      <c r="C3" s="954"/>
      <c r="D3" s="954"/>
      <c r="E3" s="954"/>
      <c r="F3" s="954"/>
      <c r="G3" s="954"/>
      <c r="H3" s="954"/>
    </row>
    <row r="4" spans="1:9" ht="21" customHeight="1" x14ac:dyDescent="0.25">
      <c r="B4" s="42" t="s">
        <v>887</v>
      </c>
      <c r="C4" s="812">
        <v>13</v>
      </c>
      <c r="D4" s="956"/>
      <c r="E4" s="956"/>
      <c r="F4" s="956"/>
      <c r="G4" s="35"/>
      <c r="H4" s="35"/>
    </row>
    <row r="5" spans="1:9" ht="9" customHeight="1" x14ac:dyDescent="0.2">
      <c r="H5" s="35"/>
    </row>
    <row r="6" spans="1:9" ht="15.75" x14ac:dyDescent="0.25">
      <c r="C6" s="526"/>
      <c r="D6" s="957" t="s">
        <v>487</v>
      </c>
      <c r="E6" s="957"/>
    </row>
    <row r="7" spans="1:9" ht="12.75" customHeight="1" thickBot="1" x14ac:dyDescent="0.25">
      <c r="B7" s="464"/>
      <c r="C7" s="244"/>
    </row>
    <row r="8" spans="1:9" ht="17.25" customHeight="1" thickBot="1" x14ac:dyDescent="0.3">
      <c r="B8" s="464"/>
      <c r="C8" s="521" t="s">
        <v>308</v>
      </c>
      <c r="D8" s="819">
        <f>LOOKUP(C4,data_slings!A24:A97,data_slings!F24:F97)</f>
        <v>5000</v>
      </c>
      <c r="E8" s="25" t="s">
        <v>2014</v>
      </c>
    </row>
    <row r="9" spans="1:9" ht="7.5" customHeight="1" x14ac:dyDescent="0.2">
      <c r="B9" s="224"/>
      <c r="G9" s="36"/>
      <c r="H9" s="36"/>
      <c r="I9" s="36"/>
    </row>
    <row r="10" spans="1:9" ht="12.75" customHeight="1" x14ac:dyDescent="0.2">
      <c r="B10" s="70"/>
      <c r="C10" s="476" t="s">
        <v>2059</v>
      </c>
      <c r="D10" s="353" t="s">
        <v>486</v>
      </c>
      <c r="E10" s="33"/>
      <c r="F10" s="213"/>
      <c r="G10" s="38"/>
      <c r="H10" s="38"/>
      <c r="I10" s="38"/>
    </row>
    <row r="11" spans="1:9" ht="12.75" customHeight="1" x14ac:dyDescent="0.2">
      <c r="B11" s="477" t="s">
        <v>1954</v>
      </c>
      <c r="C11" s="476" t="s">
        <v>1601</v>
      </c>
      <c r="D11" s="354" t="s">
        <v>2059</v>
      </c>
      <c r="E11" s="39"/>
      <c r="F11" s="70"/>
    </row>
    <row r="12" spans="1:9" ht="15" x14ac:dyDescent="0.25">
      <c r="B12" s="478" t="s">
        <v>1603</v>
      </c>
      <c r="C12" s="475" t="s">
        <v>1602</v>
      </c>
      <c r="D12" s="355" t="s">
        <v>485</v>
      </c>
    </row>
    <row r="13" spans="1:9" x14ac:dyDescent="0.2">
      <c r="B13" s="481" t="s">
        <v>1596</v>
      </c>
      <c r="C13" s="474" t="s">
        <v>481</v>
      </c>
      <c r="D13" s="463" t="str">
        <f>CONCATENATE((1*D8)," lbs")</f>
        <v>5000 lbs</v>
      </c>
      <c r="E13" s="219">
        <v>1</v>
      </c>
      <c r="F13" s="220" t="s">
        <v>489</v>
      </c>
      <c r="G13" s="221">
        <v>1</v>
      </c>
    </row>
    <row r="14" spans="1:9" x14ac:dyDescent="0.2">
      <c r="B14" s="479" t="s">
        <v>1597</v>
      </c>
      <c r="C14" s="474" t="s">
        <v>480</v>
      </c>
      <c r="D14" s="820" t="str">
        <f>CONCATENATE(0.87*(D8)," lbs")</f>
        <v>4350 lbs</v>
      </c>
      <c r="E14" s="222">
        <v>2</v>
      </c>
      <c r="F14" s="220" t="s">
        <v>490</v>
      </c>
      <c r="G14" s="223">
        <v>0.87</v>
      </c>
    </row>
    <row r="15" spans="1:9" x14ac:dyDescent="0.2">
      <c r="B15" s="479" t="s">
        <v>1598</v>
      </c>
      <c r="C15" s="474" t="s">
        <v>482</v>
      </c>
      <c r="D15" s="820" t="str">
        <f>CONCATENATE(0.74*(D8)," lbs")</f>
        <v>3700 lbs</v>
      </c>
      <c r="E15" s="224">
        <v>3</v>
      </c>
      <c r="F15" s="220" t="s">
        <v>491</v>
      </c>
      <c r="G15" s="225">
        <v>0.74</v>
      </c>
    </row>
    <row r="16" spans="1:9" x14ac:dyDescent="0.2">
      <c r="B16" s="479" t="s">
        <v>1599</v>
      </c>
      <c r="C16" s="474" t="s">
        <v>483</v>
      </c>
      <c r="D16" s="820" t="str">
        <f>CONCATENATE(0.62*(D8)," lbs")</f>
        <v>3100 lbs</v>
      </c>
      <c r="E16" s="224">
        <v>4</v>
      </c>
      <c r="F16" s="220" t="s">
        <v>492</v>
      </c>
      <c r="G16" s="225">
        <v>0.62</v>
      </c>
    </row>
    <row r="17" spans="2:9" x14ac:dyDescent="0.2">
      <c r="B17" s="480" t="s">
        <v>1600</v>
      </c>
      <c r="C17" s="474" t="s">
        <v>484</v>
      </c>
      <c r="D17" s="820" t="str">
        <f>CONCATENATE(0.49*(D8)," lbs")</f>
        <v>2450 lbs</v>
      </c>
      <c r="E17" s="224">
        <v>5</v>
      </c>
      <c r="F17" s="220" t="s">
        <v>493</v>
      </c>
      <c r="G17" s="225">
        <v>0.49</v>
      </c>
    </row>
    <row r="18" spans="2:9" x14ac:dyDescent="0.2">
      <c r="C18" s="198"/>
      <c r="E18" s="224"/>
      <c r="F18" s="224"/>
      <c r="G18" s="224"/>
    </row>
    <row r="19" spans="2:9" x14ac:dyDescent="0.2">
      <c r="C19" s="955" t="s">
        <v>1943</v>
      </c>
      <c r="D19" s="955"/>
      <c r="E19" s="226"/>
      <c r="F19" s="465">
        <v>1</v>
      </c>
      <c r="G19" s="226"/>
      <c r="H19" s="214"/>
      <c r="I19" s="214"/>
    </row>
    <row r="20" spans="2:9" x14ac:dyDescent="0.2">
      <c r="C20" s="955"/>
      <c r="D20" s="955"/>
      <c r="E20" s="214"/>
      <c r="F20" s="214"/>
      <c r="G20" s="214"/>
      <c r="H20" s="214"/>
      <c r="I20" s="214"/>
    </row>
    <row r="21" spans="2:9" x14ac:dyDescent="0.2">
      <c r="C21" s="955"/>
      <c r="D21" s="955"/>
      <c r="E21" s="214"/>
      <c r="F21" s="214"/>
      <c r="G21" s="214"/>
      <c r="H21" s="214"/>
      <c r="I21" s="214"/>
    </row>
    <row r="22" spans="2:9" x14ac:dyDescent="0.2">
      <c r="C22" s="214"/>
      <c r="D22" s="214"/>
      <c r="E22" s="214"/>
      <c r="F22" s="214"/>
      <c r="G22" s="214"/>
      <c r="H22" s="214"/>
      <c r="I22" s="214"/>
    </row>
    <row r="23" spans="2:9" x14ac:dyDescent="0.2">
      <c r="B23" s="217" t="s">
        <v>473</v>
      </c>
      <c r="C23" s="214"/>
      <c r="D23" s="214"/>
      <c r="E23" s="214"/>
      <c r="F23" s="214"/>
      <c r="G23" s="214"/>
      <c r="H23" s="214"/>
      <c r="I23" s="214"/>
    </row>
    <row r="24" spans="2:9" x14ac:dyDescent="0.2">
      <c r="B24" s="217" t="s">
        <v>290</v>
      </c>
      <c r="C24" s="218" t="s">
        <v>488</v>
      </c>
      <c r="D24" s="70"/>
      <c r="E24" s="70"/>
      <c r="F24" s="70"/>
      <c r="G24" s="70"/>
      <c r="H24" s="70"/>
      <c r="I24" s="70"/>
    </row>
    <row r="26" spans="2:9" ht="12.75" customHeight="1" x14ac:dyDescent="0.2">
      <c r="B26" s="633"/>
      <c r="C26" s="887" t="str">
        <f>IF(MASTERSWITCH=1,"EVALUATION PERIOD EXPIRED!","")</f>
        <v/>
      </c>
      <c r="D26" s="887"/>
      <c r="E26" s="887"/>
    </row>
    <row r="27" spans="2:9" x14ac:dyDescent="0.2">
      <c r="B27" s="527"/>
      <c r="C27" s="887" t="str">
        <f>IF(MASTERSWITCH=1,"PLEASE PURCHASE LICENSE TO","")</f>
        <v/>
      </c>
      <c r="D27" s="887"/>
      <c r="E27" s="887"/>
    </row>
    <row r="28" spans="2:9" x14ac:dyDescent="0.2">
      <c r="B28" s="25" t="s">
        <v>1817</v>
      </c>
      <c r="C28" s="887" t="str">
        <f>IF(MASTERSWITCH=1,"CONTINUE USING THIS PROGRAM","")</f>
        <v/>
      </c>
      <c r="D28" s="887"/>
      <c r="E28" s="887"/>
    </row>
    <row r="29" spans="2:9" x14ac:dyDescent="0.2">
      <c r="B29" s="945"/>
      <c r="C29" s="946"/>
      <c r="D29" s="946"/>
      <c r="E29" s="946"/>
      <c r="F29" s="946"/>
      <c r="G29" s="946"/>
      <c r="H29" s="947"/>
    </row>
    <row r="30" spans="2:9" x14ac:dyDescent="0.2">
      <c r="B30" s="948"/>
      <c r="C30" s="949"/>
      <c r="D30" s="949"/>
      <c r="E30" s="949"/>
      <c r="F30" s="949"/>
      <c r="G30" s="949"/>
      <c r="H30" s="950"/>
    </row>
    <row r="31" spans="2:9" x14ac:dyDescent="0.2">
      <c r="B31" s="948"/>
      <c r="C31" s="949"/>
      <c r="D31" s="949"/>
      <c r="E31" s="949"/>
      <c r="F31" s="949"/>
      <c r="G31" s="949"/>
      <c r="H31" s="950"/>
    </row>
    <row r="32" spans="2:9" x14ac:dyDescent="0.2">
      <c r="B32" s="951"/>
      <c r="C32" s="952"/>
      <c r="D32" s="952"/>
      <c r="E32" s="952"/>
      <c r="F32" s="952"/>
      <c r="G32" s="952"/>
      <c r="H32" s="953"/>
    </row>
  </sheetData>
  <sheetProtection password="D809" sheet="1" objects="1" scenarios="1" selectLockedCells="1"/>
  <mergeCells count="8">
    <mergeCell ref="B29:H32"/>
    <mergeCell ref="B3:H3"/>
    <mergeCell ref="C19:D21"/>
    <mergeCell ref="D4:F4"/>
    <mergeCell ref="D6:E6"/>
    <mergeCell ref="C26:E26"/>
    <mergeCell ref="C27:E27"/>
    <mergeCell ref="C28:E28"/>
  </mergeCells>
  <phoneticPr fontId="15" type="noConversion"/>
  <conditionalFormatting sqref="E10">
    <cfRule type="cellIs" dxfId="65" priority="1" stopIfTrue="1" operator="equal">
      <formula>"Kilograms"</formula>
    </cfRule>
  </conditionalFormatting>
  <conditionalFormatting sqref="E11">
    <cfRule type="cellIs" dxfId="64" priority="2" stopIfTrue="1" operator="equal">
      <formula>"metric ton(s)"</formula>
    </cfRule>
  </conditionalFormatting>
  <conditionalFormatting sqref="D4:F4">
    <cfRule type="cellIs" dxfId="63" priority="3" stopIfTrue="1" operator="equal">
      <formula>"SAFE SLING SELECTION"</formula>
    </cfRule>
    <cfRule type="cellIs" dxfId="62" priority="4" stopIfTrue="1" operator="equal">
      <formula>"DANGER - UNSAFE SELECTION!"</formula>
    </cfRule>
  </conditionalFormatting>
  <conditionalFormatting sqref="D14 B14">
    <cfRule type="expression" dxfId="61" priority="5" stopIfTrue="1">
      <formula>($F$19=2)</formula>
    </cfRule>
  </conditionalFormatting>
  <conditionalFormatting sqref="D13 B13">
    <cfRule type="expression" dxfId="60" priority="6" stopIfTrue="1">
      <formula>($F$19=1)</formula>
    </cfRule>
  </conditionalFormatting>
  <conditionalFormatting sqref="D15 B15">
    <cfRule type="expression" dxfId="59" priority="7" stopIfTrue="1">
      <formula>($F$19=3)</formula>
    </cfRule>
  </conditionalFormatting>
  <conditionalFormatting sqref="D16 B16">
    <cfRule type="expression" dxfId="58" priority="8" stopIfTrue="1">
      <formula>($F$19=4)</formula>
    </cfRule>
  </conditionalFormatting>
  <conditionalFormatting sqref="D17 B17">
    <cfRule type="expression" dxfId="57" priority="9" stopIfTrue="1">
      <formula>($F$19=5)</formula>
    </cfRule>
  </conditionalFormatting>
  <conditionalFormatting sqref="C15:C17">
    <cfRule type="expression" dxfId="56" priority="10" stopIfTrue="1">
      <formula>AND($B$7=1,$F$19&gt;2)</formula>
    </cfRule>
  </conditionalFormatting>
  <conditionalFormatting sqref="B26:B27">
    <cfRule type="expression" dxfId="55" priority="11" stopIfTrue="1">
      <formula>AND($B$7=1,$F$19&gt;2)</formula>
    </cfRule>
  </conditionalFormatting>
  <conditionalFormatting sqref="E2">
    <cfRule type="cellIs" dxfId="54" priority="12" stopIfTrue="1" operator="equal">
      <formula>"cm"</formula>
    </cfRule>
  </conditionalFormatting>
  <conditionalFormatting sqref="D2">
    <cfRule type="cellIs" dxfId="53" priority="13" stopIfTrue="1" operator="equal">
      <formula>"m"</formula>
    </cfRule>
  </conditionalFormatting>
  <conditionalFormatting sqref="C26:E28">
    <cfRule type="expression" dxfId="52" priority="14" stopIfTrue="1">
      <formula>(MASTERSWITCH=1)</formula>
    </cfRule>
  </conditionalFormatting>
  <printOptions horizontalCentered="1"/>
  <pageMargins left="0.75" right="0.75" top="1.75" bottom="1.5" header="0.5" footer="0.5"/>
  <pageSetup orientation="portrait" horizontalDpi="0" verticalDpi="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7597" r:id="rId5" name="Drop Down 13">
              <controlPr locked="0" defaultSize="0" autoLine="0" autoPict="0">
                <anchor moveWithCells="1">
                  <from>
                    <xdr:col>4</xdr:col>
                    <xdr:colOff>495300</xdr:colOff>
                    <xdr:row>5</xdr:row>
                    <xdr:rowOff>9525</xdr:rowOff>
                  </from>
                  <to>
                    <xdr:col>5</xdr:col>
                    <xdr:colOff>390525</xdr:colOff>
                    <xdr:row>6</xdr:row>
                    <xdr:rowOff>9525</xdr:rowOff>
                  </to>
                </anchor>
              </controlPr>
            </control>
          </mc:Choice>
        </mc:AlternateContent>
        <mc:AlternateContent xmlns:mc="http://schemas.openxmlformats.org/markup-compatibility/2006">
          <mc:Choice Requires="x14">
            <control shapeId="67616" r:id="rId6" name="Drop Down 32">
              <controlPr locked="0" defaultSize="0" autoLine="0" autoPict="0">
                <anchor>
                  <from>
                    <xdr:col>2</xdr:col>
                    <xdr:colOff>590550</xdr:colOff>
                    <xdr:row>3</xdr:row>
                    <xdr:rowOff>57150</xdr:rowOff>
                  </from>
                  <to>
                    <xdr:col>7</xdr:col>
                    <xdr:colOff>523875</xdr:colOff>
                    <xdr:row>3</xdr:row>
                    <xdr:rowOff>257175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L43"/>
  <sheetViews>
    <sheetView showRowColHeaders="0" workbookViewId="0">
      <selection activeCell="B34" sqref="B34:K37"/>
    </sheetView>
  </sheetViews>
  <sheetFormatPr defaultRowHeight="12.75" x14ac:dyDescent="0.2"/>
  <cols>
    <col min="1" max="1" width="14.5703125" style="25" customWidth="1"/>
    <col min="2" max="2" width="13.85546875" style="25" customWidth="1"/>
    <col min="3" max="3" width="11.42578125" style="25" customWidth="1"/>
    <col min="4" max="4" width="14.140625" style="25" customWidth="1"/>
    <col min="5" max="5" width="15.5703125" style="25" customWidth="1"/>
    <col min="6" max="9" width="9.140625" style="25"/>
    <col min="10" max="10" width="8.140625" style="25" customWidth="1"/>
    <col min="11" max="11" width="7.42578125" style="25" customWidth="1"/>
    <col min="12" max="12" width="6.42578125" style="25" customWidth="1"/>
    <col min="13" max="16384" width="9.140625" style="25"/>
  </cols>
  <sheetData>
    <row r="1" spans="1:12" x14ac:dyDescent="0.2">
      <c r="A1" s="35"/>
      <c r="B1"/>
      <c r="F1" s="55">
        <v>1</v>
      </c>
    </row>
    <row r="2" spans="1:12" ht="15.75" thickBot="1" x14ac:dyDescent="0.3">
      <c r="B2" s="26"/>
      <c r="D2" s="45" t="str">
        <f>IF(F1=1,"FEET","m")</f>
        <v>FEET</v>
      </c>
      <c r="E2" s="45" t="str">
        <f>IF(F1=1,"inches","cm")</f>
        <v>inches</v>
      </c>
      <c r="F2" s="52" t="s">
        <v>2099</v>
      </c>
      <c r="G2" s="52" t="s">
        <v>474</v>
      </c>
      <c r="I2" s="27"/>
    </row>
    <row r="3" spans="1:12" ht="15.75" thickBot="1" x14ac:dyDescent="0.3">
      <c r="B3" s="217"/>
      <c r="C3" s="28" t="s">
        <v>2061</v>
      </c>
      <c r="D3" s="58">
        <v>7</v>
      </c>
      <c r="E3" s="58">
        <v>0</v>
      </c>
      <c r="F3" s="52">
        <f>(D3*12)+E3</f>
        <v>84</v>
      </c>
      <c r="G3" s="53">
        <f>D3+E3</f>
        <v>7</v>
      </c>
      <c r="J3" s="907" t="str">
        <f>IF(D3&gt;D4,"","NO ANGLE TO CALCULATE")</f>
        <v/>
      </c>
      <c r="K3" s="907"/>
      <c r="L3" s="907"/>
    </row>
    <row r="4" spans="1:12" ht="15.75" thickBot="1" x14ac:dyDescent="0.3">
      <c r="C4" s="28" t="s">
        <v>1999</v>
      </c>
      <c r="D4" s="58">
        <v>6</v>
      </c>
      <c r="E4" s="58">
        <v>0</v>
      </c>
      <c r="F4" s="52">
        <f>(D4*12)+E4</f>
        <v>72</v>
      </c>
      <c r="G4" s="53">
        <f>D4+E4</f>
        <v>6</v>
      </c>
    </row>
    <row r="5" spans="1:12" ht="15.75" thickBot="1" x14ac:dyDescent="0.3">
      <c r="B5" s="959" t="s">
        <v>880</v>
      </c>
      <c r="C5" s="959"/>
      <c r="D5" s="600">
        <v>16000</v>
      </c>
      <c r="E5" s="69" t="s">
        <v>885</v>
      </c>
      <c r="F5" s="52"/>
      <c r="G5" s="53"/>
      <c r="K5" s="215">
        <f>IF(D3&gt;D4,DEGREES(ASIN(F4/F3)),"---")</f>
        <v>58.997280866126005</v>
      </c>
      <c r="L5" s="216" t="s">
        <v>2108</v>
      </c>
    </row>
    <row r="6" spans="1:12" x14ac:dyDescent="0.2">
      <c r="B6" s="839" t="s">
        <v>883</v>
      </c>
      <c r="C6" s="839"/>
      <c r="D6" s="785">
        <f>IF(F1=1,((D5/2)*F3/F4),((D5/2)*G3/G4))</f>
        <v>9333.3333333333339</v>
      </c>
      <c r="E6" s="769" t="s">
        <v>881</v>
      </c>
      <c r="F6" s="765"/>
      <c r="G6" s="54"/>
      <c r="H6" s="793">
        <v>1</v>
      </c>
      <c r="I6" s="794" t="s">
        <v>489</v>
      </c>
      <c r="J6" s="795">
        <v>1</v>
      </c>
      <c r="K6" s="796"/>
    </row>
    <row r="7" spans="1:12" ht="19.5" customHeight="1" x14ac:dyDescent="0.2">
      <c r="C7" s="962" t="s">
        <v>886</v>
      </c>
      <c r="D7" s="962"/>
      <c r="E7" s="784">
        <v>4</v>
      </c>
      <c r="F7" s="776">
        <f>LOOKUP(E7,H6:H10,J6:J10)</f>
        <v>0.62</v>
      </c>
      <c r="H7" s="797">
        <v>2</v>
      </c>
      <c r="I7" s="794" t="s">
        <v>490</v>
      </c>
      <c r="J7" s="798">
        <v>0.87</v>
      </c>
      <c r="K7" s="796"/>
    </row>
    <row r="8" spans="1:12" x14ac:dyDescent="0.2">
      <c r="B8" s="839" t="s">
        <v>884</v>
      </c>
      <c r="C8" s="839"/>
      <c r="D8" s="785">
        <f>(LOOKUP($C$10,data_slings!$A$24:$A$97,data_slings!$F$24:$F$97)*F7)</f>
        <v>7936</v>
      </c>
      <c r="E8" s="769" t="s">
        <v>882</v>
      </c>
      <c r="H8" s="797">
        <v>3</v>
      </c>
      <c r="I8" s="794" t="s">
        <v>491</v>
      </c>
      <c r="J8" s="799">
        <v>0.74</v>
      </c>
      <c r="K8" s="796"/>
    </row>
    <row r="9" spans="1:12" ht="18.75" customHeight="1" x14ac:dyDescent="0.2">
      <c r="B9" s="960"/>
      <c r="C9" s="960"/>
      <c r="D9" s="961" t="str">
        <f>IF(D6&gt;D8,"DANGER - Sling Capacity Exceeded!"," ")</f>
        <v>DANGER - Sling Capacity Exceeded!</v>
      </c>
      <c r="E9" s="961"/>
      <c r="F9" s="961"/>
      <c r="G9" s="198"/>
      <c r="H9" s="797">
        <v>4</v>
      </c>
      <c r="I9" s="794" t="s">
        <v>492</v>
      </c>
      <c r="J9" s="799">
        <v>0.62</v>
      </c>
      <c r="K9" s="796"/>
    </row>
    <row r="10" spans="1:12" ht="18.75" customHeight="1" x14ac:dyDescent="0.2">
      <c r="A10" s="42" t="s">
        <v>887</v>
      </c>
      <c r="B10" s="548"/>
      <c r="C10" s="466">
        <v>67</v>
      </c>
      <c r="D10" s="775"/>
      <c r="E10" s="775"/>
      <c r="F10" s="775"/>
      <c r="G10" s="198"/>
      <c r="H10" s="797">
        <v>5</v>
      </c>
      <c r="I10" s="794" t="s">
        <v>493</v>
      </c>
      <c r="J10" s="799">
        <v>0.49</v>
      </c>
      <c r="K10" s="796"/>
    </row>
    <row r="11" spans="1:12" ht="18" customHeight="1" x14ac:dyDescent="0.2">
      <c r="D11" s="352"/>
      <c r="H11" s="786"/>
      <c r="I11" s="786"/>
      <c r="J11" s="786"/>
      <c r="K11" s="786"/>
    </row>
    <row r="13" spans="1:12" ht="9" customHeight="1" x14ac:dyDescent="0.2">
      <c r="H13" s="35"/>
    </row>
    <row r="15" spans="1:12" x14ac:dyDescent="0.2">
      <c r="B15" s="464"/>
      <c r="C15" s="244"/>
      <c r="I15" s="958" t="str">
        <f>IF(K5&lt;31,"Horizontal angles LESS THAN 30° are not recommended - see ASME B30.9","")</f>
        <v/>
      </c>
      <c r="J15" s="958"/>
      <c r="K15" s="958"/>
      <c r="L15" s="958"/>
    </row>
    <row r="16" spans="1:12" x14ac:dyDescent="0.2">
      <c r="B16" s="224"/>
      <c r="G16" s="36"/>
      <c r="H16" s="36"/>
      <c r="I16" s="958"/>
      <c r="J16" s="958"/>
      <c r="K16" s="958"/>
      <c r="L16" s="958"/>
    </row>
    <row r="17" spans="2:12" ht="12.75" customHeight="1" x14ac:dyDescent="0.2">
      <c r="B17" s="70"/>
      <c r="C17" s="476"/>
      <c r="D17" s="787"/>
      <c r="E17" s="777"/>
      <c r="F17" s="778"/>
      <c r="G17" s="779"/>
      <c r="H17" s="771"/>
      <c r="I17" s="958"/>
      <c r="J17" s="958"/>
      <c r="K17" s="958"/>
      <c r="L17" s="958"/>
    </row>
    <row r="18" spans="2:12" ht="12.75" customHeight="1" x14ac:dyDescent="0.2">
      <c r="B18" s="788"/>
      <c r="C18" s="476"/>
      <c r="D18" s="789"/>
      <c r="E18" s="780"/>
      <c r="F18" s="781"/>
      <c r="G18" s="782"/>
      <c r="H18" s="772"/>
      <c r="I18" s="958"/>
      <c r="J18" s="958"/>
      <c r="K18" s="958"/>
      <c r="L18" s="958"/>
    </row>
    <row r="19" spans="2:12" ht="15.75" x14ac:dyDescent="0.25">
      <c r="B19" s="788"/>
      <c r="C19" s="386"/>
      <c r="D19" s="524"/>
      <c r="E19" s="782"/>
      <c r="F19" s="782"/>
      <c r="G19" s="782"/>
      <c r="H19" s="772"/>
      <c r="I19" s="908" t="s">
        <v>376</v>
      </c>
      <c r="J19" s="908"/>
      <c r="K19" s="908"/>
      <c r="L19" s="908"/>
    </row>
    <row r="20" spans="2:12" ht="15" x14ac:dyDescent="0.25">
      <c r="B20" s="790"/>
      <c r="C20" s="791"/>
      <c r="D20" s="790"/>
      <c r="H20" s="772"/>
      <c r="I20" s="935" t="s">
        <v>377</v>
      </c>
      <c r="J20" s="935"/>
      <c r="K20" s="935"/>
      <c r="L20" s="935"/>
    </row>
    <row r="21" spans="2:12" x14ac:dyDescent="0.2">
      <c r="B21" s="792"/>
      <c r="C21" s="791"/>
      <c r="D21" s="792"/>
      <c r="H21" s="772"/>
    </row>
    <row r="22" spans="2:12" x14ac:dyDescent="0.2">
      <c r="B22" s="792"/>
      <c r="C22" s="791"/>
      <c r="D22" s="792"/>
      <c r="H22" s="772"/>
      <c r="I22" s="887" t="str">
        <f>IF(MASTERSWITCH=1,"EVALUATION PERIOD EXPIRED!","")</f>
        <v/>
      </c>
      <c r="J22" s="887"/>
      <c r="K22" s="887"/>
      <c r="L22" s="887"/>
    </row>
    <row r="23" spans="2:12" x14ac:dyDescent="0.2">
      <c r="B23" s="792"/>
      <c r="C23" s="791"/>
      <c r="D23" s="792"/>
      <c r="H23" s="772"/>
      <c r="I23" s="887" t="str">
        <f>IF(MASTERSWITCH=1,"PLEASE PURCHASE LICENSE TO","")</f>
        <v/>
      </c>
      <c r="J23" s="887"/>
      <c r="K23" s="887"/>
      <c r="L23" s="887"/>
    </row>
    <row r="24" spans="2:12" x14ac:dyDescent="0.2">
      <c r="B24" s="792"/>
      <c r="C24" s="792"/>
      <c r="D24" s="792"/>
      <c r="H24" s="772"/>
      <c r="I24" s="887" t="str">
        <f>IF(MASTERSWITCH=1,"CONTINUE USING THIS PROGRAM","")</f>
        <v/>
      </c>
      <c r="J24" s="887"/>
      <c r="K24" s="887"/>
      <c r="L24" s="887"/>
    </row>
    <row r="25" spans="2:12" x14ac:dyDescent="0.2">
      <c r="B25" s="792"/>
      <c r="C25" s="792"/>
      <c r="D25" s="792"/>
      <c r="E25" s="782"/>
      <c r="F25" s="782"/>
      <c r="G25" s="782"/>
      <c r="H25" s="772"/>
      <c r="I25" s="217" t="s">
        <v>290</v>
      </c>
    </row>
    <row r="26" spans="2:12" x14ac:dyDescent="0.2">
      <c r="B26" s="792"/>
      <c r="C26" s="792"/>
      <c r="D26" s="792"/>
      <c r="E26" s="783"/>
      <c r="G26" s="783"/>
      <c r="H26" s="773"/>
      <c r="I26" s="214"/>
      <c r="J26" s="214"/>
    </row>
    <row r="27" spans="2:12" x14ac:dyDescent="0.2">
      <c r="B27" s="792"/>
      <c r="C27" s="792"/>
      <c r="D27" s="792"/>
      <c r="E27" s="783"/>
      <c r="F27" s="783"/>
      <c r="G27" s="783"/>
      <c r="H27" s="773"/>
      <c r="I27" s="214"/>
      <c r="J27" s="214"/>
    </row>
    <row r="28" spans="2:12" x14ac:dyDescent="0.2">
      <c r="B28" s="792"/>
      <c r="C28" s="792"/>
      <c r="D28" s="792"/>
      <c r="E28" s="783"/>
      <c r="F28" s="783"/>
      <c r="G28" s="783"/>
      <c r="H28" s="773"/>
      <c r="I28" s="214"/>
      <c r="J28" s="214"/>
    </row>
    <row r="29" spans="2:12" x14ac:dyDescent="0.2">
      <c r="B29" s="69" t="s">
        <v>888</v>
      </c>
      <c r="C29" s="792"/>
      <c r="D29" s="792"/>
      <c r="E29" s="214"/>
      <c r="F29" s="214"/>
      <c r="G29" s="214"/>
      <c r="H29" s="214"/>
      <c r="I29" s="214"/>
      <c r="J29" s="214"/>
    </row>
    <row r="30" spans="2:12" x14ac:dyDescent="0.2">
      <c r="C30" s="792"/>
      <c r="D30" s="792"/>
      <c r="E30" s="214"/>
      <c r="F30" s="214"/>
      <c r="G30" s="214"/>
      <c r="H30" s="214"/>
      <c r="I30" s="214"/>
      <c r="J30" s="214"/>
    </row>
    <row r="31" spans="2:12" x14ac:dyDescent="0.2">
      <c r="C31" s="218"/>
      <c r="D31" s="70"/>
      <c r="E31" s="70"/>
      <c r="F31" s="70"/>
      <c r="G31" s="70"/>
      <c r="H31" s="70"/>
      <c r="I31" s="70"/>
      <c r="J31" s="70"/>
    </row>
    <row r="33" spans="2:11" x14ac:dyDescent="0.2">
      <c r="B33" s="25" t="s">
        <v>1817</v>
      </c>
    </row>
    <row r="34" spans="2:11" x14ac:dyDescent="0.2">
      <c r="B34" s="936"/>
      <c r="C34" s="937"/>
      <c r="D34" s="937"/>
      <c r="E34" s="937"/>
      <c r="F34" s="937"/>
      <c r="G34" s="937"/>
      <c r="H34" s="937"/>
      <c r="I34" s="937"/>
      <c r="J34" s="937"/>
      <c r="K34" s="938"/>
    </row>
    <row r="35" spans="2:11" x14ac:dyDescent="0.2">
      <c r="B35" s="939"/>
      <c r="C35" s="940"/>
      <c r="D35" s="940"/>
      <c r="E35" s="940"/>
      <c r="F35" s="940"/>
      <c r="G35" s="940"/>
      <c r="H35" s="940"/>
      <c r="I35" s="940"/>
      <c r="J35" s="940"/>
      <c r="K35" s="941"/>
    </row>
    <row r="36" spans="2:11" x14ac:dyDescent="0.2">
      <c r="B36" s="939"/>
      <c r="C36" s="940"/>
      <c r="D36" s="940"/>
      <c r="E36" s="940"/>
      <c r="F36" s="940"/>
      <c r="G36" s="940"/>
      <c r="H36" s="940"/>
      <c r="I36" s="940"/>
      <c r="J36" s="940"/>
      <c r="K36" s="941"/>
    </row>
    <row r="37" spans="2:11" x14ac:dyDescent="0.2">
      <c r="B37" s="942"/>
      <c r="C37" s="943"/>
      <c r="D37" s="943"/>
      <c r="E37" s="943"/>
      <c r="F37" s="943"/>
      <c r="G37" s="943"/>
      <c r="H37" s="943"/>
      <c r="I37" s="943"/>
      <c r="J37" s="943"/>
      <c r="K37" s="944"/>
    </row>
    <row r="40" spans="2:11" x14ac:dyDescent="0.2">
      <c r="F40" s="770"/>
      <c r="G40" s="89"/>
    </row>
    <row r="41" spans="2:11" x14ac:dyDescent="0.2">
      <c r="F41" s="770"/>
    </row>
    <row r="42" spans="2:11" x14ac:dyDescent="0.2">
      <c r="F42" s="770"/>
    </row>
    <row r="43" spans="2:11" x14ac:dyDescent="0.2">
      <c r="F43" s="770"/>
    </row>
  </sheetData>
  <sheetProtection password="D809" sheet="1" objects="1" scenarios="1" selectLockedCells="1"/>
  <mergeCells count="14">
    <mergeCell ref="J3:L3"/>
    <mergeCell ref="I19:L19"/>
    <mergeCell ref="I20:L20"/>
    <mergeCell ref="B5:C5"/>
    <mergeCell ref="B9:C9"/>
    <mergeCell ref="B6:C6"/>
    <mergeCell ref="B8:C8"/>
    <mergeCell ref="D9:F9"/>
    <mergeCell ref="C7:D7"/>
    <mergeCell ref="I23:L23"/>
    <mergeCell ref="I24:L24"/>
    <mergeCell ref="B34:K37"/>
    <mergeCell ref="I15:L18"/>
    <mergeCell ref="I22:L22"/>
  </mergeCells>
  <phoneticPr fontId="15" type="noConversion"/>
  <conditionalFormatting sqref="J3">
    <cfRule type="expression" dxfId="51" priority="1" stopIfTrue="1">
      <formula>(K5="---")</formula>
    </cfRule>
  </conditionalFormatting>
  <conditionalFormatting sqref="D10:E10">
    <cfRule type="expression" dxfId="50" priority="2" stopIfTrue="1">
      <formula>(#REF!&gt;D9)</formula>
    </cfRule>
  </conditionalFormatting>
  <conditionalFormatting sqref="F9">
    <cfRule type="expression" dxfId="49" priority="3" stopIfTrue="1">
      <formula>(F6&gt;#REF!)</formula>
    </cfRule>
  </conditionalFormatting>
  <conditionalFormatting sqref="F10">
    <cfRule type="expression" dxfId="48" priority="4" stopIfTrue="1">
      <formula>(#REF!&gt;F8)</formula>
    </cfRule>
  </conditionalFormatting>
  <conditionalFormatting sqref="D9:E9">
    <cfRule type="expression" dxfId="47" priority="5" stopIfTrue="1">
      <formula>(D6&gt;D8)</formula>
    </cfRule>
  </conditionalFormatting>
  <conditionalFormatting sqref="E17">
    <cfRule type="cellIs" dxfId="46" priority="6" stopIfTrue="1" operator="equal">
      <formula>"Kilograms"</formula>
    </cfRule>
  </conditionalFormatting>
  <conditionalFormatting sqref="E18">
    <cfRule type="cellIs" dxfId="45" priority="7" stopIfTrue="1" operator="equal">
      <formula>"metric ton(s)"</formula>
    </cfRule>
  </conditionalFormatting>
  <conditionalFormatting sqref="I15">
    <cfRule type="expression" dxfId="44" priority="8" stopIfTrue="1">
      <formula>($K$5&lt;31)</formula>
    </cfRule>
  </conditionalFormatting>
  <conditionalFormatting sqref="E2">
    <cfRule type="cellIs" dxfId="43" priority="9" stopIfTrue="1" operator="equal">
      <formula>"cm"</formula>
    </cfRule>
  </conditionalFormatting>
  <conditionalFormatting sqref="D2">
    <cfRule type="cellIs" dxfId="42" priority="10" stopIfTrue="1" operator="equal">
      <formula>"m"</formula>
    </cfRule>
  </conditionalFormatting>
  <conditionalFormatting sqref="D6 D8">
    <cfRule type="expression" dxfId="41" priority="11" stopIfTrue="1">
      <formula>$D$4&gt;$D$3</formula>
    </cfRule>
  </conditionalFormatting>
  <conditionalFormatting sqref="D3:D5 E3:E4">
    <cfRule type="expression" dxfId="40" priority="12" stopIfTrue="1">
      <formula>(MASTERSWITCH=1)</formula>
    </cfRule>
  </conditionalFormatting>
  <conditionalFormatting sqref="I22:I24">
    <cfRule type="expression" dxfId="39" priority="13" stopIfTrue="1">
      <formula>(MASTERSWITCH=1)</formula>
    </cfRule>
  </conditionalFormatting>
  <printOptions horizontalCentered="1"/>
  <pageMargins left="0.75" right="0.75" top="1.75" bottom="1.5" header="0.5" footer="0.5"/>
  <pageSetup scale="78" orientation="portrait" horizontalDpi="0" verticalDpi="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0201" r:id="rId5" name="Drop Down 25">
              <controlPr defaultSize="0" autoLine="0" autoPict="0">
                <anchor moveWithCells="1">
                  <from>
                    <xdr:col>4</xdr:col>
                    <xdr:colOff>76200</xdr:colOff>
                    <xdr:row>6</xdr:row>
                    <xdr:rowOff>9525</xdr:rowOff>
                  </from>
                  <to>
                    <xdr:col>4</xdr:col>
                    <xdr:colOff>1009650</xdr:colOff>
                    <xdr:row>6</xdr:row>
                    <xdr:rowOff>209550</xdr:rowOff>
                  </to>
                </anchor>
              </controlPr>
            </control>
          </mc:Choice>
        </mc:AlternateContent>
        <mc:AlternateContent xmlns:mc="http://schemas.openxmlformats.org/markup-compatibility/2006">
          <mc:Choice Requires="x14">
            <control shapeId="50193" r:id="rId6" name="Drop Down 17">
              <controlPr defaultSize="0" autoLine="0" autoPict="0">
                <anchor moveWithCells="1" sizeWithCells="1">
                  <from>
                    <xdr:col>1</xdr:col>
                    <xdr:colOff>476250</xdr:colOff>
                    <xdr:row>9</xdr:row>
                    <xdr:rowOff>47625</xdr:rowOff>
                  </from>
                  <to>
                    <xdr:col>5</xdr:col>
                    <xdr:colOff>590550</xdr:colOff>
                    <xdr:row>10</xdr:row>
                    <xdr:rowOff>19050</xdr:rowOff>
                  </to>
                </anchor>
              </controlPr>
            </control>
          </mc:Choice>
        </mc:AlternateContent>
        <mc:AlternateContent xmlns:mc="http://schemas.openxmlformats.org/markup-compatibility/2006">
          <mc:Choice Requires="x14">
            <control shapeId="50188" r:id="rId7" name="Option Button 12">
              <controlPr defaultSize="0" autoFill="0" autoLine="0" autoPict="0">
                <anchor moveWithCells="1" sizeWithCells="1">
                  <from>
                    <xdr:col>5</xdr:col>
                    <xdr:colOff>133350</xdr:colOff>
                    <xdr:row>2</xdr:row>
                    <xdr:rowOff>104775</xdr:rowOff>
                  </from>
                  <to>
                    <xdr:col>5</xdr:col>
                    <xdr:colOff>571500</xdr:colOff>
                    <xdr:row>3</xdr:row>
                    <xdr:rowOff>114300</xdr:rowOff>
                  </to>
                </anchor>
              </controlPr>
            </control>
          </mc:Choice>
        </mc:AlternateContent>
        <mc:AlternateContent xmlns:mc="http://schemas.openxmlformats.org/markup-compatibility/2006">
          <mc:Choice Requires="x14">
            <control shapeId="50189" r:id="rId8" name="Option Button 13">
              <controlPr defaultSize="0" autoFill="0" autoLine="0" autoPict="0">
                <anchor moveWithCells="1" sizeWithCells="1">
                  <from>
                    <xdr:col>5</xdr:col>
                    <xdr:colOff>552450</xdr:colOff>
                    <xdr:row>2</xdr:row>
                    <xdr:rowOff>104775</xdr:rowOff>
                  </from>
                  <to>
                    <xdr:col>6</xdr:col>
                    <xdr:colOff>485775</xdr:colOff>
                    <xdr:row>3</xdr:row>
                    <xdr:rowOff>114300</xdr:rowOff>
                  </to>
                </anchor>
              </controlPr>
            </control>
          </mc:Choice>
        </mc:AlternateContent>
        <mc:AlternateContent xmlns:mc="http://schemas.openxmlformats.org/markup-compatibility/2006">
          <mc:Choice Requires="x14">
            <control shapeId="50190" r:id="rId9" name="Group Box 14">
              <controlPr defaultSize="0" autoFill="0" autoPict="0">
                <anchor moveWithCells="1" sizeWithCells="1">
                  <from>
                    <xdr:col>5</xdr:col>
                    <xdr:colOff>95250</xdr:colOff>
                    <xdr:row>2</xdr:row>
                    <xdr:rowOff>57150</xdr:rowOff>
                  </from>
                  <to>
                    <xdr:col>6</xdr:col>
                    <xdr:colOff>561975</xdr:colOff>
                    <xdr:row>3</xdr:row>
                    <xdr:rowOff>114300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pageSetUpPr fitToPage="1"/>
  </sheetPr>
  <dimension ref="A1:R46"/>
  <sheetViews>
    <sheetView showRowColHeaders="0" workbookViewId="0"/>
  </sheetViews>
  <sheetFormatPr defaultRowHeight="12.75" x14ac:dyDescent="0.2"/>
  <cols>
    <col min="1" max="1" width="14.42578125" style="12" customWidth="1"/>
    <col min="2" max="2" width="47.85546875" style="12" customWidth="1"/>
    <col min="3" max="3" width="16.42578125" style="12" customWidth="1"/>
    <col min="4" max="4" width="16.140625" style="12" customWidth="1"/>
    <col min="5" max="5" width="18.42578125" style="12" customWidth="1"/>
    <col min="6" max="6" width="4.140625" style="12" customWidth="1"/>
    <col min="7" max="7" width="7.28515625" style="12" customWidth="1"/>
    <col min="8" max="8" width="12.7109375" style="12" customWidth="1"/>
    <col min="9" max="9" width="6.42578125" style="12" customWidth="1"/>
    <col min="10" max="10" width="3.5703125" style="12" customWidth="1"/>
    <col min="11" max="11" width="12.7109375" style="12" customWidth="1"/>
    <col min="12" max="16384" width="9.140625" style="12"/>
  </cols>
  <sheetData>
    <row r="1" spans="1:18" x14ac:dyDescent="0.2">
      <c r="A1" s="247"/>
      <c r="B1"/>
      <c r="C1" s="70"/>
      <c r="D1" s="70"/>
      <c r="E1" s="70"/>
      <c r="F1" s="70"/>
      <c r="G1" s="70"/>
      <c r="H1" s="70"/>
      <c r="I1" s="70"/>
      <c r="J1" s="70"/>
      <c r="K1" s="70"/>
      <c r="L1" s="70"/>
      <c r="M1" s="70"/>
      <c r="N1" s="70"/>
      <c r="O1" s="70"/>
      <c r="P1" s="70"/>
      <c r="Q1" s="70"/>
      <c r="R1" s="70"/>
    </row>
    <row r="2" spans="1:18" x14ac:dyDescent="0.2">
      <c r="A2" s="70"/>
      <c r="B2" s="70"/>
      <c r="C2" s="70"/>
      <c r="D2" s="70"/>
      <c r="E2" s="70"/>
      <c r="F2" s="70"/>
      <c r="G2" s="70"/>
      <c r="H2" s="70"/>
      <c r="I2" s="70"/>
      <c r="J2" s="70"/>
      <c r="K2" s="70"/>
      <c r="L2" s="70"/>
      <c r="M2" s="70"/>
      <c r="N2" s="70"/>
      <c r="O2" s="70"/>
      <c r="P2" s="70"/>
      <c r="Q2" s="70"/>
      <c r="R2" s="70"/>
    </row>
    <row r="3" spans="1:18" x14ac:dyDescent="0.2">
      <c r="A3" s="70"/>
      <c r="B3" s="70"/>
      <c r="C3" s="70"/>
      <c r="D3" s="70"/>
      <c r="E3" s="70"/>
      <c r="F3" s="70"/>
      <c r="G3" s="70"/>
      <c r="H3" s="70"/>
      <c r="I3" s="70"/>
      <c r="J3" s="70"/>
      <c r="K3" s="70"/>
      <c r="L3" s="70"/>
      <c r="M3" s="70"/>
      <c r="N3" s="70"/>
      <c r="O3" s="70"/>
      <c r="P3" s="70"/>
      <c r="Q3" s="70"/>
      <c r="R3" s="70"/>
    </row>
    <row r="4" spans="1:18" x14ac:dyDescent="0.2">
      <c r="A4" s="70"/>
      <c r="B4" s="70"/>
      <c r="C4" s="70"/>
      <c r="D4" s="70"/>
      <c r="E4" s="70"/>
      <c r="F4" s="70"/>
      <c r="G4" s="70"/>
      <c r="H4" s="70"/>
      <c r="I4" s="70"/>
      <c r="J4" s="70"/>
      <c r="K4" s="70"/>
      <c r="L4" s="70"/>
      <c r="M4" s="70"/>
      <c r="N4" s="70"/>
      <c r="O4" s="70"/>
      <c r="P4" s="70"/>
      <c r="Q4" s="70"/>
      <c r="R4" s="70"/>
    </row>
    <row r="5" spans="1:18" x14ac:dyDescent="0.2">
      <c r="A5" s="724">
        <v>1</v>
      </c>
      <c r="B5" s="70"/>
      <c r="C5" s="70"/>
      <c r="D5" s="70"/>
      <c r="E5" s="70"/>
      <c r="F5" s="70"/>
      <c r="G5" s="70"/>
      <c r="H5" s="70"/>
      <c r="I5" s="70"/>
      <c r="J5" s="70"/>
      <c r="K5" s="70"/>
      <c r="L5" s="70"/>
      <c r="M5" s="70"/>
      <c r="N5" s="70"/>
      <c r="O5" s="70"/>
      <c r="P5" s="70"/>
      <c r="Q5" s="70"/>
      <c r="R5" s="70"/>
    </row>
    <row r="6" spans="1:18" x14ac:dyDescent="0.2">
      <c r="A6" s="225"/>
      <c r="B6" s="70"/>
      <c r="C6" s="70"/>
      <c r="D6" s="70"/>
      <c r="E6" s="70"/>
      <c r="F6" s="70"/>
      <c r="G6" s="70"/>
      <c r="H6" s="70"/>
      <c r="I6" s="70"/>
      <c r="J6" s="70"/>
      <c r="K6" s="70"/>
      <c r="L6" s="70"/>
      <c r="M6" s="70"/>
      <c r="N6" s="70"/>
      <c r="O6" s="70"/>
      <c r="P6" s="70"/>
      <c r="Q6" s="70"/>
      <c r="R6" s="70"/>
    </row>
    <row r="7" spans="1:18" x14ac:dyDescent="0.2">
      <c r="A7" s="225"/>
      <c r="B7" s="70"/>
      <c r="C7" s="70"/>
      <c r="D7" s="70"/>
      <c r="E7" s="70"/>
      <c r="F7" s="70"/>
      <c r="G7" s="70"/>
      <c r="H7" s="70"/>
      <c r="I7" s="70"/>
      <c r="J7" s="70"/>
      <c r="K7" s="70"/>
      <c r="L7" s="70"/>
      <c r="M7" s="70"/>
      <c r="N7" s="70"/>
      <c r="O7" s="70"/>
      <c r="P7" s="70"/>
      <c r="Q7" s="70"/>
      <c r="R7" s="70"/>
    </row>
    <row r="8" spans="1:18" x14ac:dyDescent="0.2">
      <c r="A8" s="225"/>
      <c r="B8" s="70"/>
      <c r="C8" s="70"/>
      <c r="D8" s="70"/>
      <c r="E8" s="70"/>
      <c r="F8" s="70"/>
      <c r="G8" s="70"/>
      <c r="H8" s="70"/>
      <c r="I8" s="70"/>
      <c r="J8" s="70"/>
      <c r="K8" s="70"/>
      <c r="L8" s="70"/>
      <c r="M8" s="70"/>
      <c r="N8" s="70"/>
      <c r="O8" s="70"/>
      <c r="P8" s="70"/>
      <c r="Q8" s="70"/>
      <c r="R8" s="70"/>
    </row>
    <row r="9" spans="1:18" x14ac:dyDescent="0.2">
      <c r="A9" s="225"/>
      <c r="B9" s="70"/>
      <c r="C9" s="70"/>
      <c r="D9" s="70"/>
      <c r="E9" s="70"/>
      <c r="F9" s="70"/>
      <c r="G9" s="70"/>
      <c r="H9" s="70"/>
      <c r="I9" s="70"/>
      <c r="J9" s="70"/>
      <c r="K9" s="70"/>
      <c r="L9" s="70"/>
      <c r="M9" s="70"/>
      <c r="N9" s="70"/>
      <c r="O9" s="70"/>
      <c r="P9" s="70"/>
      <c r="Q9" s="70"/>
      <c r="R9" s="70"/>
    </row>
    <row r="10" spans="1:18" x14ac:dyDescent="0.2">
      <c r="A10" s="225"/>
      <c r="B10" s="70"/>
      <c r="C10" s="70"/>
      <c r="D10" s="70"/>
      <c r="E10" s="70"/>
      <c r="F10" s="70"/>
      <c r="G10" s="70"/>
      <c r="H10" s="70"/>
      <c r="I10" s="70"/>
      <c r="J10" s="70"/>
      <c r="K10" s="70"/>
      <c r="L10" s="70"/>
      <c r="M10" s="70"/>
      <c r="N10" s="70"/>
      <c r="O10" s="70"/>
      <c r="P10" s="70"/>
      <c r="Q10" s="70"/>
      <c r="R10" s="70"/>
    </row>
    <row r="11" spans="1:18" x14ac:dyDescent="0.2">
      <c r="A11" s="225"/>
      <c r="B11" s="70"/>
      <c r="C11" s="70"/>
      <c r="D11" s="70"/>
      <c r="E11" s="70"/>
      <c r="F11" s="70"/>
      <c r="G11" s="70"/>
      <c r="H11" s="70"/>
      <c r="I11" s="70"/>
      <c r="J11" s="70"/>
      <c r="K11" s="70"/>
      <c r="L11" s="70"/>
      <c r="M11" s="70"/>
      <c r="N11" s="70"/>
      <c r="O11" s="70"/>
      <c r="P11" s="70"/>
      <c r="Q11" s="70"/>
      <c r="R11" s="70"/>
    </row>
    <row r="12" spans="1:18" x14ac:dyDescent="0.2">
      <c r="A12" s="225"/>
      <c r="B12" s="70"/>
      <c r="C12" s="51" t="s">
        <v>1945</v>
      </c>
      <c r="D12" s="70"/>
      <c r="E12" s="70"/>
      <c r="F12" s="70"/>
      <c r="G12" s="247"/>
      <c r="H12" s="70"/>
      <c r="I12" s="70"/>
      <c r="J12" s="70"/>
      <c r="K12" s="70"/>
      <c r="L12" s="70"/>
      <c r="M12" s="70"/>
      <c r="N12" s="70"/>
      <c r="O12" s="70"/>
      <c r="P12" s="70"/>
      <c r="Q12" s="70"/>
      <c r="R12" s="70"/>
    </row>
    <row r="13" spans="1:18" x14ac:dyDescent="0.2">
      <c r="A13" s="225"/>
      <c r="B13" s="70"/>
      <c r="C13" s="51" t="s">
        <v>1944</v>
      </c>
      <c r="D13" s="585" t="str">
        <f>IF($A$5=1,CONCATENATE(LOOKUP(A18,data_slings!A24:A63,data_slings!H24:H63)," inches"),CONCATENATE(LOOKUP(A18,data_slings!A24:A63,data_slings!P24:P63), " mm"))</f>
        <v>2 inches</v>
      </c>
      <c r="E13" s="70"/>
      <c r="F13" s="70"/>
      <c r="G13" s="70"/>
      <c r="H13" s="70"/>
      <c r="I13" s="70"/>
      <c r="J13" s="70"/>
      <c r="K13" s="70"/>
      <c r="L13" s="70"/>
      <c r="M13" s="70"/>
      <c r="N13" s="70"/>
      <c r="O13" s="70"/>
      <c r="P13" s="70"/>
      <c r="Q13" s="70"/>
      <c r="R13" s="70"/>
    </row>
    <row r="14" spans="1:18" x14ac:dyDescent="0.2">
      <c r="A14" s="225"/>
      <c r="B14" s="70"/>
      <c r="C14" s="70"/>
      <c r="D14" s="70"/>
      <c r="E14" s="70"/>
      <c r="F14" s="70"/>
      <c r="G14" s="70"/>
      <c r="H14" s="70"/>
      <c r="I14" s="70"/>
      <c r="J14" s="70"/>
      <c r="K14" s="70"/>
      <c r="L14" s="70"/>
      <c r="M14" s="70"/>
      <c r="N14" s="70"/>
      <c r="O14" s="70"/>
      <c r="P14" s="70"/>
      <c r="Q14" s="70"/>
      <c r="R14" s="70"/>
    </row>
    <row r="15" spans="1:18" ht="15.75" x14ac:dyDescent="0.25">
      <c r="A15" s="225"/>
      <c r="B15" s="70"/>
      <c r="C15" s="70"/>
      <c r="D15" s="70"/>
      <c r="E15" s="70"/>
      <c r="F15" s="248"/>
      <c r="G15" s="70"/>
      <c r="H15" s="248"/>
      <c r="I15" s="70"/>
      <c r="J15" s="70"/>
      <c r="K15" s="248"/>
      <c r="L15" s="70"/>
      <c r="M15" s="70"/>
      <c r="N15" s="70"/>
      <c r="O15" s="70"/>
      <c r="P15" s="70"/>
      <c r="Q15" s="70"/>
      <c r="R15" s="70"/>
    </row>
    <row r="16" spans="1:18" ht="15.75" x14ac:dyDescent="0.25">
      <c r="A16" s="225"/>
      <c r="B16" s="243" t="s">
        <v>658</v>
      </c>
      <c r="C16" s="351" t="s">
        <v>2058</v>
      </c>
      <c r="D16" s="351" t="s">
        <v>2059</v>
      </c>
      <c r="E16" s="351" t="s">
        <v>2060</v>
      </c>
      <c r="F16" s="249"/>
      <c r="G16" s="250"/>
      <c r="H16" s="249"/>
      <c r="I16" s="250"/>
      <c r="J16" s="70"/>
      <c r="K16" s="249"/>
      <c r="L16" s="250"/>
      <c r="M16" s="70"/>
      <c r="N16" s="70"/>
      <c r="O16" s="70"/>
      <c r="P16" s="70"/>
      <c r="Q16" s="70"/>
      <c r="R16" s="70"/>
    </row>
    <row r="17" spans="1:18" ht="6" customHeight="1" x14ac:dyDescent="0.25">
      <c r="A17" s="225"/>
      <c r="B17" s="70"/>
      <c r="C17" s="70"/>
      <c r="D17" s="70"/>
      <c r="E17" s="70"/>
      <c r="F17" s="251"/>
      <c r="G17" s="250"/>
      <c r="H17" s="251"/>
      <c r="I17" s="250"/>
      <c r="J17" s="70"/>
      <c r="K17" s="251"/>
      <c r="L17" s="250"/>
      <c r="M17" s="70"/>
      <c r="N17" s="70"/>
      <c r="O17" s="70"/>
      <c r="P17" s="70"/>
      <c r="Q17" s="70"/>
      <c r="R17" s="70"/>
    </row>
    <row r="18" spans="1:18" ht="16.5" customHeight="1" x14ac:dyDescent="0.2">
      <c r="A18" s="723">
        <v>3</v>
      </c>
      <c r="B18" s="70"/>
      <c r="C18" s="350" t="str">
        <f>IF($A$5=1,CONCATENATE(LOOKUP(A18,data_slings!A24:A63,data_slings!E24:E63)," lbs. WLL"),CONCATENATE(LOOKUP(A18,data_slings!A24:A63,data_slings!M24:M63)," kgs. WLL"))</f>
        <v>3200 lbs. WLL</v>
      </c>
      <c r="D18" s="350" t="str">
        <f>IF($A$5=1,CONCATENATE(LOOKUP($A$18,data_slings!A24:A63,data_slings!F24:F63)," lbs. WLL"),CONCATENATE(LOOKUP($A$18,data_slings!A24:A63,data_slings!N24:N63)," kgs. WLL"))</f>
        <v>2500 lbs. WLL</v>
      </c>
      <c r="E18" s="350" t="str">
        <f>IF($A$5=1,CONCATENATE(LOOKUP($A$18,data_slings!A24:A63,data_slings!G24:G63)," lbs. WLL"),CONCATENATE(LOOKUP($A$18,data_slings!A24:A63,data_slings!O24:O63)," kgs. WLL"))</f>
        <v>6400 lbs. WLL</v>
      </c>
      <c r="F18" s="255" t="s">
        <v>702</v>
      </c>
      <c r="G18" s="70"/>
      <c r="H18" s="70"/>
      <c r="I18" s="70"/>
      <c r="J18" s="70"/>
      <c r="K18" s="70"/>
      <c r="L18" s="70"/>
      <c r="M18" s="70"/>
      <c r="N18" s="70"/>
      <c r="O18" s="70"/>
      <c r="P18" s="70"/>
      <c r="Q18" s="70"/>
      <c r="R18" s="70"/>
    </row>
    <row r="19" spans="1:18" ht="12.75" customHeight="1" x14ac:dyDescent="0.2">
      <c r="A19" s="349"/>
      <c r="B19" s="70"/>
      <c r="C19" s="461" t="str">
        <f>IF($A$5=1,CONCATENATE(ROUNDDOWN((LOOKUP($A$18,data_slings!$A$24:$A$63,data_slings!$E$24:$E$63)/2000),2)," US tons"),CONCATENATE(ROUNDDOWN((LOOKUP($A$18,data_slings!$A$24:$A$63,data_slings!$M$24:$M$63)/1000),2)," Metric tons"))</f>
        <v>1.6 US tons</v>
      </c>
      <c r="D19" s="461" t="str">
        <f>IF($A$5=1,CONCATENATE(ROUNDDOWN((LOOKUP($A$18,data_slings!$A$24:$A$63,data_slings!$F$24:$F$63)/2000),2)," US tons"),CONCATENATE(ROUNDDOWN((LOOKUP($A$18,data_slings!$A$24:$A$63,data_slings!$N$24:$N$63)/1000),2)," Metric tons"))</f>
        <v>1.25 US tons</v>
      </c>
      <c r="E19" s="461" t="str">
        <f>IF($A$5=1,CONCATENATE(ROUNDDOWN((LOOKUP($A$18,data_slings!$A$24:$A$63,data_slings!$G$24:$G$63)/2000),2)," US tons"),CONCATENATE(ROUNDDOWN((LOOKUP($A$18,data_slings!$A$24:$A$63,data_slings!$O$24:$O$63)/1000),2)," Metric tons"))</f>
        <v>3.2 US tons</v>
      </c>
      <c r="F19" s="255"/>
      <c r="G19" s="70"/>
      <c r="H19" s="70"/>
      <c r="I19" s="70"/>
      <c r="J19" s="70"/>
      <c r="K19" s="70"/>
      <c r="L19" s="70"/>
      <c r="M19" s="70"/>
      <c r="N19" s="70"/>
      <c r="O19" s="70"/>
      <c r="P19" s="70"/>
      <c r="Q19" s="70"/>
      <c r="R19" s="70"/>
    </row>
    <row r="20" spans="1:18" ht="12.75" customHeight="1" x14ac:dyDescent="0.2">
      <c r="A20" s="225"/>
      <c r="B20" s="70"/>
      <c r="C20" s="70"/>
      <c r="D20" s="70"/>
      <c r="E20" s="70"/>
      <c r="F20" s="70"/>
      <c r="G20" s="70"/>
      <c r="H20" s="70"/>
      <c r="I20" s="70"/>
      <c r="J20" s="70"/>
      <c r="K20" s="70"/>
      <c r="L20" s="70"/>
      <c r="M20" s="70"/>
      <c r="N20" s="70"/>
      <c r="O20" s="70"/>
      <c r="P20" s="70"/>
      <c r="Q20" s="70"/>
      <c r="R20" s="70"/>
    </row>
    <row r="21" spans="1:18" ht="12.75" customHeight="1" x14ac:dyDescent="0.25">
      <c r="A21" s="225"/>
      <c r="B21" s="70"/>
      <c r="C21" s="70"/>
      <c r="D21" s="70"/>
      <c r="E21" s="252"/>
      <c r="F21" s="253"/>
      <c r="G21" s="253"/>
      <c r="H21" s="253"/>
      <c r="I21" s="253"/>
      <c r="J21" s="253"/>
      <c r="K21" s="253"/>
      <c r="L21" s="70"/>
      <c r="M21" s="70"/>
      <c r="N21" s="70"/>
      <c r="O21" s="70"/>
      <c r="P21" s="70"/>
      <c r="Q21" s="70"/>
      <c r="R21" s="70"/>
    </row>
    <row r="22" spans="1:18" ht="12.75" customHeight="1" x14ac:dyDescent="0.2">
      <c r="A22" s="225"/>
      <c r="B22" s="70"/>
      <c r="C22" s="51" t="s">
        <v>1945</v>
      </c>
      <c r="D22" s="70"/>
      <c r="E22" s="70"/>
      <c r="F22" s="70"/>
      <c r="G22" s="70"/>
      <c r="H22" s="70"/>
      <c r="I22" s="70"/>
      <c r="J22" s="70"/>
      <c r="K22" s="70"/>
      <c r="L22" s="70"/>
      <c r="M22" s="70"/>
      <c r="N22" s="70"/>
      <c r="O22" s="70"/>
      <c r="P22" s="70"/>
      <c r="Q22" s="70"/>
      <c r="R22" s="70"/>
    </row>
    <row r="23" spans="1:18" ht="12.75" customHeight="1" x14ac:dyDescent="0.2">
      <c r="A23" s="225"/>
      <c r="B23" s="70"/>
      <c r="C23" s="51" t="s">
        <v>1944</v>
      </c>
      <c r="D23" s="585" t="str">
        <f>IF($A$5=1,CONCATENATE(LOOKUP(A27,data_slings!K65:K77,data_slings!H65:H77), " inches"),CONCATENATE(LOOKUP(A27,data_slings!K65:K77,data_slings!P65:P77), " mm"))</f>
        <v>0.5 inches</v>
      </c>
      <c r="E23" s="70"/>
      <c r="F23" s="70"/>
      <c r="G23" s="70"/>
      <c r="H23" s="70"/>
      <c r="I23" s="70"/>
      <c r="J23" s="70"/>
      <c r="K23" s="70"/>
      <c r="L23" s="70"/>
      <c r="M23" s="70"/>
      <c r="N23" s="70"/>
      <c r="O23" s="70"/>
      <c r="P23" s="70"/>
      <c r="Q23" s="70"/>
      <c r="R23" s="70"/>
    </row>
    <row r="24" spans="1:18" ht="12.75" customHeight="1" x14ac:dyDescent="0.2">
      <c r="A24" s="225"/>
      <c r="B24" s="70"/>
      <c r="C24" s="51" t="s">
        <v>1784</v>
      </c>
      <c r="D24" s="585" t="str">
        <f>IF($A$5=1,CONCATENATE(LOOKUP(A27,data_sling_2!B88:B100,data_sling_2!I88:I100), " inches"),CONCATENATE(LOOKUP(A27,data_sling_2!B88:B100,data_sling_2!K88:K100), " mm"))</f>
        <v>0.62 inches</v>
      </c>
      <c r="E24" s="70"/>
      <c r="F24" s="70"/>
      <c r="G24" s="70"/>
      <c r="H24" s="70"/>
      <c r="I24" s="70"/>
      <c r="J24" s="70"/>
      <c r="K24" s="70"/>
      <c r="L24" s="70"/>
      <c r="M24" s="70"/>
      <c r="N24" s="70"/>
      <c r="O24" s="70"/>
      <c r="P24" s="70"/>
      <c r="Q24" s="70"/>
      <c r="R24" s="70"/>
    </row>
    <row r="25" spans="1:18" ht="12.75" customHeight="1" x14ac:dyDescent="0.25">
      <c r="A25" s="225"/>
      <c r="B25" s="243" t="s">
        <v>659</v>
      </c>
      <c r="C25" s="351" t="s">
        <v>2058</v>
      </c>
      <c r="D25" s="351" t="s">
        <v>2059</v>
      </c>
      <c r="E25" s="351" t="s">
        <v>2060</v>
      </c>
      <c r="F25" s="70"/>
      <c r="G25" s="70"/>
      <c r="H25" s="70"/>
      <c r="I25" s="70"/>
      <c r="J25" s="70"/>
      <c r="K25" s="70"/>
      <c r="L25" s="70"/>
      <c r="M25" s="70"/>
      <c r="N25" s="70"/>
      <c r="O25" s="70"/>
      <c r="P25" s="70"/>
      <c r="Q25" s="70"/>
      <c r="R25" s="70"/>
    </row>
    <row r="26" spans="1:18" ht="5.25" customHeight="1" x14ac:dyDescent="0.2">
      <c r="A26" s="225"/>
      <c r="B26" s="70"/>
      <c r="C26" s="70"/>
      <c r="D26" s="70"/>
      <c r="E26" s="70"/>
      <c r="F26" s="70"/>
      <c r="G26" s="70"/>
      <c r="H26" s="70"/>
      <c r="I26" s="70"/>
      <c r="J26" s="70"/>
      <c r="K26" s="70"/>
      <c r="L26" s="70"/>
      <c r="M26" s="70"/>
      <c r="N26" s="70"/>
      <c r="O26" s="70"/>
      <c r="P26" s="70"/>
      <c r="Q26" s="70"/>
      <c r="R26" s="70"/>
    </row>
    <row r="27" spans="1:18" ht="16.5" customHeight="1" x14ac:dyDescent="0.2">
      <c r="A27" s="723">
        <v>1</v>
      </c>
      <c r="B27" s="70"/>
      <c r="C27" s="350" t="str">
        <f>IF($A$5=1,CONCATENATE(LOOKUP($A$27,data_slings!$K$65:$K$77,data_slings!$E$65:$E$77)," lbs. WLL"),CONCATENATE(LOOKUP($A$27,data_slings!$K$65:$K$77,data_slings!$M$65:$M$77)," kgs. WLL"))</f>
        <v>2600 lbs. WLL</v>
      </c>
      <c r="D27" s="350" t="str">
        <f>IF($A$5=1,CONCATENATE(LOOKUP(A27,data_slings!K65:K77,data_slings!F65:F77)," lbs. WLL"),CONCATENATE(LOOKUP(A27,data_slings!K65:K77,data_slings!N65:N77)," kgs. WLL"))</f>
        <v>2100 lbs. WLL</v>
      </c>
      <c r="E27" s="350" t="str">
        <f>IF($A$5=1,CONCATENATE(LOOKUP(A27,data_slings!K65:K77,data_slings!G65:G77)," lbs. WLL"),CONCATENATE(LOOKUP(A27,data_slings!K65:K77,data_slings!O65:O77)," kgs. WLL"))</f>
        <v>5200 lbs. WLL</v>
      </c>
      <c r="F27" s="255" t="s">
        <v>702</v>
      </c>
      <c r="G27" s="70"/>
      <c r="H27" s="70"/>
      <c r="I27" s="70"/>
      <c r="J27" s="70"/>
      <c r="K27" s="70"/>
      <c r="L27" s="70"/>
      <c r="M27" s="70"/>
      <c r="N27" s="70"/>
      <c r="O27" s="70"/>
      <c r="P27" s="70"/>
      <c r="Q27" s="70"/>
      <c r="R27" s="70"/>
    </row>
    <row r="28" spans="1:18" ht="12.75" customHeight="1" x14ac:dyDescent="0.2">
      <c r="A28" s="349"/>
      <c r="B28" s="70"/>
      <c r="C28" s="461" t="str">
        <f>IF($A$5=1,CONCATENATE(ROUNDDOWN((LOOKUP($A$27,data_slings!$K$65:$K$77,data_slings!$E$65:$E$77)/2000),2)," US tons"),CONCATENATE(ROUNDDOWN((LOOKUP($A$27,data_slings!$K$65:$K$77,data_slings!$M$65:$M$77)/1000),2)," Metric tons"))</f>
        <v>1.3 US tons</v>
      </c>
      <c r="D28" s="461" t="str">
        <f>IF($A$5=1,CONCATENATE(ROUNDDOWN((LOOKUP($A$27,data_slings!$K$65:$K$77,data_slings!$F$65:$F$77)/2000),2)," US tons"),CONCATENATE(ROUNDDOWN((LOOKUP($A$27,data_slings!$K$65:$K$77,data_slings!$N$65:$N$77)/1000),2)," Metric tons"))</f>
        <v>1.05 US tons</v>
      </c>
      <c r="E28" s="461" t="str">
        <f>IF($A$5=1,CONCATENATE(ROUNDDOWN((LOOKUP($A$27,data_slings!$K$65:$K$77,data_slings!$G$65:$G$77)/2000),2)," US tons"),CONCATENATE(ROUNDDOWN((LOOKUP($A$27,data_slings!$K$65:$K$77,data_slings!$O$65:$O$77)/1000),2)," Metric tons"))</f>
        <v>2.6 US tons</v>
      </c>
      <c r="F28" s="255"/>
      <c r="G28" s="70"/>
      <c r="H28" s="70"/>
      <c r="I28" s="70"/>
      <c r="J28" s="70"/>
      <c r="K28" s="70"/>
      <c r="L28" s="70"/>
      <c r="M28" s="70"/>
      <c r="N28" s="70"/>
      <c r="O28" s="70"/>
      <c r="P28" s="70"/>
      <c r="Q28" s="70"/>
      <c r="R28" s="70"/>
    </row>
    <row r="29" spans="1:18" ht="12.75" customHeight="1" x14ac:dyDescent="0.2">
      <c r="A29" s="225"/>
      <c r="B29" s="70"/>
      <c r="C29" s="70"/>
      <c r="D29" s="70"/>
      <c r="E29" s="70"/>
      <c r="F29" s="70"/>
      <c r="G29" s="70"/>
      <c r="H29" s="70"/>
      <c r="I29" s="70"/>
      <c r="J29" s="70"/>
      <c r="K29" s="70"/>
      <c r="L29" s="70"/>
      <c r="M29" s="70"/>
      <c r="N29" s="70"/>
      <c r="O29" s="70"/>
      <c r="P29" s="70"/>
      <c r="Q29" s="70"/>
      <c r="R29" s="70"/>
    </row>
    <row r="30" spans="1:18" x14ac:dyDescent="0.2">
      <c r="A30" s="70"/>
      <c r="B30" s="747" t="s">
        <v>1307</v>
      </c>
      <c r="C30" s="70"/>
      <c r="D30" s="70"/>
      <c r="E30" s="70"/>
      <c r="F30" s="70"/>
      <c r="G30" s="70"/>
      <c r="H30" s="70"/>
      <c r="I30" s="70"/>
      <c r="J30" s="70"/>
      <c r="K30" s="70"/>
      <c r="L30" s="70"/>
      <c r="M30" s="70"/>
      <c r="N30" s="70"/>
      <c r="O30" s="70"/>
      <c r="P30" s="70"/>
      <c r="Q30" s="70"/>
      <c r="R30" s="70"/>
    </row>
    <row r="31" spans="1:18" x14ac:dyDescent="0.2">
      <c r="A31" s="70"/>
      <c r="B31" s="707" t="str">
        <f>IF(MASTERSWITCH=1,"EVALUATION PERIOD EXPIRED!","")</f>
        <v/>
      </c>
      <c r="C31" s="722"/>
      <c r="D31" s="722"/>
      <c r="E31" s="70"/>
      <c r="F31" s="70"/>
      <c r="G31" s="70"/>
      <c r="H31" s="70"/>
      <c r="I31" s="70"/>
      <c r="J31" s="70"/>
      <c r="K31" s="70"/>
      <c r="L31" s="70"/>
      <c r="M31" s="70"/>
      <c r="N31" s="70"/>
      <c r="O31" s="70"/>
      <c r="P31" s="70"/>
      <c r="Q31" s="70"/>
      <c r="R31" s="70"/>
    </row>
    <row r="32" spans="1:18" x14ac:dyDescent="0.2">
      <c r="A32" s="70"/>
      <c r="B32" s="707" t="str">
        <f>IF(MASTERSWITCH=1,"PLEASE PURCHASE LICENSE TO","")</f>
        <v/>
      </c>
      <c r="C32" s="722"/>
      <c r="D32" s="722"/>
      <c r="E32" s="70"/>
      <c r="F32" s="70"/>
      <c r="G32" s="70"/>
      <c r="H32" s="70"/>
      <c r="I32" s="70"/>
      <c r="J32" s="70"/>
      <c r="K32" s="70"/>
      <c r="L32" s="70"/>
      <c r="M32" s="70"/>
      <c r="N32" s="70"/>
      <c r="O32" s="70"/>
      <c r="P32" s="70"/>
      <c r="Q32" s="70"/>
      <c r="R32" s="70"/>
    </row>
    <row r="33" spans="1:18" x14ac:dyDescent="0.2">
      <c r="A33" s="70"/>
      <c r="B33" s="707" t="str">
        <f>IF(MASTERSWITCH=1,"CONTINUE USING THIS PROGRAM","")</f>
        <v/>
      </c>
      <c r="C33" s="722"/>
      <c r="D33" s="722"/>
      <c r="E33" s="70"/>
      <c r="F33" s="70"/>
      <c r="G33" s="70"/>
      <c r="H33" s="70"/>
      <c r="I33" s="70"/>
      <c r="J33" s="70"/>
      <c r="K33" s="70"/>
      <c r="L33" s="70"/>
      <c r="M33" s="70"/>
      <c r="N33" s="70"/>
      <c r="O33" s="70"/>
      <c r="P33" s="70"/>
      <c r="Q33" s="70"/>
      <c r="R33" s="70"/>
    </row>
    <row r="34" spans="1:18" x14ac:dyDescent="0.2">
      <c r="A34" s="70"/>
      <c r="B34" s="70"/>
      <c r="C34" s="70"/>
      <c r="D34" s="70"/>
      <c r="E34" s="70"/>
      <c r="F34" s="70"/>
      <c r="G34" s="70"/>
      <c r="H34" s="70"/>
      <c r="I34" s="70"/>
      <c r="J34" s="70"/>
      <c r="K34" s="70"/>
      <c r="L34" s="70"/>
      <c r="M34" s="70"/>
      <c r="N34" s="70"/>
      <c r="O34" s="70"/>
      <c r="P34" s="70"/>
      <c r="Q34" s="70"/>
      <c r="R34" s="70"/>
    </row>
    <row r="35" spans="1:18" x14ac:dyDescent="0.2">
      <c r="A35" s="70"/>
      <c r="B35" s="70"/>
      <c r="C35" s="70"/>
      <c r="D35" s="70"/>
      <c r="E35" s="70"/>
      <c r="F35" s="70"/>
      <c r="G35" s="70"/>
      <c r="H35" s="70"/>
      <c r="I35" s="70"/>
      <c r="J35" s="70"/>
      <c r="K35" s="70"/>
      <c r="L35" s="70"/>
      <c r="M35" s="70"/>
      <c r="N35" s="70"/>
      <c r="O35" s="70"/>
      <c r="P35" s="70"/>
      <c r="Q35" s="70"/>
      <c r="R35" s="70"/>
    </row>
    <row r="36" spans="1:18" x14ac:dyDescent="0.2">
      <c r="A36" s="70"/>
      <c r="B36" s="70"/>
      <c r="C36" s="70"/>
      <c r="D36" s="70"/>
      <c r="E36" s="70"/>
      <c r="F36" s="70"/>
      <c r="G36" s="70"/>
      <c r="H36" s="70"/>
      <c r="I36" s="70"/>
      <c r="J36" s="70"/>
      <c r="K36" s="70"/>
      <c r="L36" s="70"/>
      <c r="M36" s="70"/>
      <c r="N36" s="70"/>
      <c r="O36" s="70"/>
      <c r="P36" s="70"/>
      <c r="Q36" s="70"/>
      <c r="R36" s="70"/>
    </row>
    <row r="37" spans="1:18" x14ac:dyDescent="0.2">
      <c r="A37" s="70"/>
      <c r="B37" s="70"/>
      <c r="C37" s="70"/>
      <c r="D37" s="70"/>
      <c r="E37" s="70"/>
      <c r="F37" s="70"/>
      <c r="G37" s="70"/>
      <c r="H37" s="70"/>
      <c r="I37" s="70"/>
      <c r="J37" s="70"/>
      <c r="K37" s="70"/>
      <c r="L37" s="70"/>
      <c r="M37" s="70"/>
      <c r="N37" s="70"/>
      <c r="O37" s="70"/>
      <c r="P37" s="70"/>
      <c r="Q37" s="70"/>
      <c r="R37" s="70"/>
    </row>
    <row r="38" spans="1:18" x14ac:dyDescent="0.2">
      <c r="A38" s="70"/>
      <c r="B38" s="70"/>
      <c r="C38" s="70"/>
      <c r="D38" s="70"/>
      <c r="E38" s="70"/>
      <c r="F38" s="70"/>
      <c r="G38" s="70"/>
      <c r="H38" s="70"/>
      <c r="I38" s="70"/>
      <c r="J38" s="70"/>
      <c r="K38" s="70"/>
      <c r="L38" s="70"/>
      <c r="M38" s="70"/>
      <c r="N38" s="70"/>
      <c r="O38" s="70"/>
      <c r="P38" s="70"/>
      <c r="Q38" s="70"/>
      <c r="R38" s="70"/>
    </row>
    <row r="39" spans="1:18" x14ac:dyDescent="0.2">
      <c r="A39" s="70"/>
      <c r="B39" s="70"/>
      <c r="C39" s="70"/>
      <c r="D39" s="70"/>
      <c r="E39" s="70"/>
      <c r="F39" s="70"/>
      <c r="G39" s="70"/>
      <c r="H39" s="70"/>
      <c r="I39" s="70"/>
      <c r="J39" s="70"/>
      <c r="K39" s="70"/>
      <c r="L39" s="70"/>
      <c r="M39" s="70"/>
      <c r="N39" s="70"/>
      <c r="O39" s="70"/>
      <c r="P39" s="70"/>
      <c r="Q39" s="70"/>
      <c r="R39" s="70"/>
    </row>
    <row r="40" spans="1:18" x14ac:dyDescent="0.2">
      <c r="A40" s="70"/>
      <c r="B40" s="70"/>
      <c r="C40" s="70"/>
      <c r="D40" s="70"/>
      <c r="E40" s="70"/>
      <c r="F40" s="70"/>
      <c r="G40" s="70"/>
      <c r="H40" s="70"/>
      <c r="I40" s="70"/>
      <c r="J40" s="70"/>
      <c r="K40" s="70"/>
      <c r="L40" s="70"/>
      <c r="M40" s="70"/>
      <c r="N40" s="70"/>
      <c r="O40" s="70"/>
      <c r="P40" s="70"/>
      <c r="Q40" s="70"/>
      <c r="R40" s="70"/>
    </row>
    <row r="41" spans="1:18" x14ac:dyDescent="0.2">
      <c r="A41" s="70"/>
      <c r="B41" s="70"/>
      <c r="C41" s="70"/>
      <c r="D41" s="70"/>
      <c r="E41" s="70"/>
      <c r="F41" s="70"/>
      <c r="G41" s="70"/>
      <c r="H41" s="70"/>
      <c r="I41" s="70"/>
      <c r="J41" s="70"/>
      <c r="K41" s="70"/>
      <c r="L41" s="70"/>
      <c r="M41" s="70"/>
      <c r="N41" s="70"/>
      <c r="O41" s="70"/>
      <c r="P41" s="70"/>
      <c r="Q41" s="70"/>
      <c r="R41" s="70"/>
    </row>
    <row r="42" spans="1:18" x14ac:dyDescent="0.2">
      <c r="A42" s="70"/>
      <c r="B42" s="70"/>
      <c r="C42" s="70"/>
      <c r="D42" s="70"/>
      <c r="E42" s="70"/>
      <c r="F42" s="70"/>
      <c r="G42" s="70"/>
      <c r="H42" s="70"/>
      <c r="I42" s="70"/>
      <c r="J42" s="70"/>
      <c r="K42" s="70"/>
      <c r="L42" s="70"/>
      <c r="M42" s="70"/>
      <c r="N42" s="70"/>
      <c r="O42" s="70"/>
      <c r="P42" s="70"/>
      <c r="Q42" s="70"/>
      <c r="R42" s="70"/>
    </row>
    <row r="43" spans="1:18" x14ac:dyDescent="0.2">
      <c r="A43" s="70"/>
      <c r="B43" s="70"/>
      <c r="C43" s="70"/>
      <c r="D43" s="70"/>
      <c r="E43" s="70"/>
      <c r="F43" s="70"/>
      <c r="G43" s="70"/>
      <c r="H43" s="70"/>
      <c r="I43" s="70"/>
      <c r="J43" s="70"/>
      <c r="K43" s="70"/>
      <c r="L43" s="70"/>
      <c r="M43" s="70"/>
      <c r="N43" s="70"/>
      <c r="O43" s="70"/>
      <c r="P43" s="70"/>
      <c r="Q43" s="70"/>
      <c r="R43" s="70"/>
    </row>
    <row r="44" spans="1:18" x14ac:dyDescent="0.2">
      <c r="A44" s="70"/>
      <c r="B44" s="70"/>
      <c r="C44" s="70"/>
      <c r="D44" s="70"/>
      <c r="E44" s="70"/>
      <c r="F44" s="70"/>
      <c r="G44" s="70"/>
      <c r="H44" s="70"/>
      <c r="I44" s="70"/>
      <c r="J44" s="70"/>
      <c r="K44" s="70"/>
      <c r="L44" s="70"/>
      <c r="M44" s="70"/>
      <c r="N44" s="70"/>
      <c r="O44" s="70"/>
      <c r="P44" s="70"/>
      <c r="Q44" s="70"/>
      <c r="R44" s="70"/>
    </row>
    <row r="45" spans="1:18" x14ac:dyDescent="0.2">
      <c r="A45" s="70"/>
      <c r="B45" s="70"/>
      <c r="C45" s="70"/>
      <c r="D45" s="70"/>
      <c r="E45" s="70"/>
      <c r="F45" s="70"/>
      <c r="G45" s="70"/>
      <c r="H45" s="70"/>
      <c r="I45" s="70"/>
      <c r="J45" s="70"/>
      <c r="K45" s="70"/>
      <c r="L45" s="70"/>
      <c r="M45" s="70"/>
      <c r="N45" s="70"/>
      <c r="O45" s="70"/>
      <c r="P45" s="70"/>
      <c r="Q45" s="70"/>
      <c r="R45" s="70"/>
    </row>
    <row r="46" spans="1:18" x14ac:dyDescent="0.2">
      <c r="A46" s="70"/>
      <c r="B46" s="70"/>
      <c r="C46" s="70"/>
      <c r="D46" s="70"/>
      <c r="E46" s="70"/>
      <c r="F46" s="70"/>
      <c r="G46" s="70"/>
      <c r="H46" s="70"/>
      <c r="I46" s="70"/>
      <c r="J46" s="70"/>
      <c r="K46" s="70"/>
      <c r="L46" s="70"/>
      <c r="M46" s="70"/>
      <c r="N46" s="70"/>
      <c r="O46" s="70"/>
      <c r="P46" s="70"/>
      <c r="Q46" s="70"/>
      <c r="R46" s="70"/>
    </row>
  </sheetData>
  <sheetProtection password="D809" sheet="1" objects="1" scenarios="1" selectLockedCells="1"/>
  <phoneticPr fontId="15" type="noConversion"/>
  <conditionalFormatting sqref="C18:E19 D13 C27:E28 D23:D24">
    <cfRule type="expression" dxfId="38" priority="1" stopIfTrue="1">
      <formula>($A$5=2)</formula>
    </cfRule>
  </conditionalFormatting>
  <conditionalFormatting sqref="B31:B33">
    <cfRule type="expression" dxfId="37" priority="2" stopIfTrue="1">
      <formula>(MASTERSWITCH=1)</formula>
    </cfRule>
  </conditionalFormatting>
  <hyperlinks>
    <hyperlink ref="B30" location="'Web Shackles'!A1" tooltip="Go to web sling shackles" display="See WEB sling shackles designed for these slings"/>
  </hyperlinks>
  <printOptions horizontalCentered="1"/>
  <pageMargins left="0.75" right="0.75" top="1.75" bottom="1.5" header="0.5" footer="0.5"/>
  <pageSetup scale="76" orientation="portrait" horizontalDpi="0" verticalDpi="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8444" r:id="rId5" name="Drop Down 12">
              <controlPr locked="0" defaultSize="0" autoLine="0" autoPict="0">
                <anchor moveWithCells="1">
                  <from>
                    <xdr:col>1</xdr:col>
                    <xdr:colOff>47625</xdr:colOff>
                    <xdr:row>17</xdr:row>
                    <xdr:rowOff>0</xdr:rowOff>
                  </from>
                  <to>
                    <xdr:col>1</xdr:col>
                    <xdr:colOff>3171825</xdr:colOff>
                    <xdr:row>17</xdr:row>
                    <xdr:rowOff>200025</xdr:rowOff>
                  </to>
                </anchor>
              </controlPr>
            </control>
          </mc:Choice>
        </mc:AlternateContent>
        <mc:AlternateContent xmlns:mc="http://schemas.openxmlformats.org/markup-compatibility/2006">
          <mc:Choice Requires="x14">
            <control shapeId="18452" r:id="rId6" name="Drop Down 20">
              <controlPr locked="0" defaultSize="0" autoLine="0" autoPict="0">
                <anchor moveWithCells="1">
                  <from>
                    <xdr:col>1</xdr:col>
                    <xdr:colOff>57150</xdr:colOff>
                    <xdr:row>26</xdr:row>
                    <xdr:rowOff>0</xdr:rowOff>
                  </from>
                  <to>
                    <xdr:col>1</xdr:col>
                    <xdr:colOff>3152775</xdr:colOff>
                    <xdr:row>27</xdr:row>
                    <xdr:rowOff>0</xdr:rowOff>
                  </to>
                </anchor>
              </controlPr>
            </control>
          </mc:Choice>
        </mc:AlternateContent>
        <mc:AlternateContent xmlns:mc="http://schemas.openxmlformats.org/markup-compatibility/2006">
          <mc:Choice Requires="x14">
            <control shapeId="18446" r:id="rId7" name="Option Button 14">
              <controlPr defaultSize="0" autoFill="0" autoLine="0" autoPict="0">
                <anchor moveWithCells="1" sizeWithCells="1">
                  <from>
                    <xdr:col>1</xdr:col>
                    <xdr:colOff>133350</xdr:colOff>
                    <xdr:row>3</xdr:row>
                    <xdr:rowOff>9525</xdr:rowOff>
                  </from>
                  <to>
                    <xdr:col>1</xdr:col>
                    <xdr:colOff>571500</xdr:colOff>
                    <xdr:row>4</xdr:row>
                    <xdr:rowOff>66675</xdr:rowOff>
                  </to>
                </anchor>
              </controlPr>
            </control>
          </mc:Choice>
        </mc:AlternateContent>
        <mc:AlternateContent xmlns:mc="http://schemas.openxmlformats.org/markup-compatibility/2006">
          <mc:Choice Requires="x14">
            <control shapeId="18447" r:id="rId8" name="Option Button 15">
              <controlPr defaultSize="0" autoFill="0" autoLine="0" autoPict="0">
                <anchor moveWithCells="1" sizeWithCells="1">
                  <from>
                    <xdr:col>1</xdr:col>
                    <xdr:colOff>552450</xdr:colOff>
                    <xdr:row>3</xdr:row>
                    <xdr:rowOff>9525</xdr:rowOff>
                  </from>
                  <to>
                    <xdr:col>1</xdr:col>
                    <xdr:colOff>1095375</xdr:colOff>
                    <xdr:row>4</xdr:row>
                    <xdr:rowOff>66675</xdr:rowOff>
                  </to>
                </anchor>
              </controlPr>
            </control>
          </mc:Choice>
        </mc:AlternateContent>
        <mc:AlternateContent xmlns:mc="http://schemas.openxmlformats.org/markup-compatibility/2006">
          <mc:Choice Requires="x14">
            <control shapeId="18448" r:id="rId9" name="Group Box 16">
              <controlPr defaultSize="0" autoFill="0" autoPict="0">
                <anchor moveWithCells="1" sizeWithCells="1">
                  <from>
                    <xdr:col>1</xdr:col>
                    <xdr:colOff>95250</xdr:colOff>
                    <xdr:row>2</xdr:row>
                    <xdr:rowOff>123825</xdr:rowOff>
                  </from>
                  <to>
                    <xdr:col>1</xdr:col>
                    <xdr:colOff>1171575</xdr:colOff>
                    <xdr:row>4</xdr:row>
                    <xdr:rowOff>66675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pageSetUpPr fitToPage="1"/>
  </sheetPr>
  <dimension ref="A1:R46"/>
  <sheetViews>
    <sheetView showRowColHeaders="0" workbookViewId="0"/>
  </sheetViews>
  <sheetFormatPr defaultRowHeight="12.75" x14ac:dyDescent="0.2"/>
  <cols>
    <col min="1" max="1" width="17.5703125" style="12" customWidth="1"/>
    <col min="2" max="2" width="47.85546875" style="12" customWidth="1"/>
    <col min="3" max="3" width="16.42578125" style="12" customWidth="1"/>
    <col min="4" max="4" width="16.140625" style="12" customWidth="1"/>
    <col min="5" max="5" width="18.42578125" style="12" customWidth="1"/>
    <col min="6" max="6" width="4.140625" style="12" customWidth="1"/>
    <col min="7" max="7" width="7.28515625" style="12" customWidth="1"/>
    <col min="8" max="8" width="12.7109375" style="12" customWidth="1"/>
    <col min="9" max="9" width="6.42578125" style="12" customWidth="1"/>
    <col min="10" max="10" width="3.5703125" style="12" customWidth="1"/>
    <col min="11" max="11" width="12.7109375" style="12" customWidth="1"/>
    <col min="12" max="16384" width="9.140625" style="12"/>
  </cols>
  <sheetData>
    <row r="1" spans="1:18" x14ac:dyDescent="0.2">
      <c r="A1" s="247"/>
      <c r="B1"/>
      <c r="C1" s="70"/>
      <c r="D1" s="70"/>
      <c r="E1" s="70"/>
      <c r="F1" s="70"/>
      <c r="G1" s="70"/>
      <c r="H1" s="70"/>
      <c r="I1" s="70"/>
      <c r="J1" s="70"/>
      <c r="K1" s="70"/>
      <c r="L1" s="70"/>
      <c r="M1" s="70"/>
      <c r="N1" s="70"/>
      <c r="O1" s="70"/>
      <c r="P1" s="70"/>
      <c r="Q1" s="70"/>
      <c r="R1" s="70"/>
    </row>
    <row r="2" spans="1:18" x14ac:dyDescent="0.2">
      <c r="A2" s="70"/>
      <c r="B2" s="70"/>
      <c r="C2" s="70"/>
      <c r="D2" s="70"/>
      <c r="E2" s="70"/>
      <c r="F2" s="70"/>
      <c r="G2" s="70"/>
      <c r="H2" s="70"/>
      <c r="I2" s="70"/>
      <c r="J2" s="70"/>
      <c r="K2" s="70"/>
      <c r="L2" s="70"/>
      <c r="M2" s="70"/>
      <c r="N2" s="70"/>
      <c r="O2" s="70"/>
      <c r="P2" s="70"/>
      <c r="Q2" s="70"/>
      <c r="R2" s="70"/>
    </row>
    <row r="3" spans="1:18" x14ac:dyDescent="0.2">
      <c r="A3" s="70"/>
      <c r="B3" s="70"/>
      <c r="C3" s="70"/>
      <c r="D3" s="70"/>
      <c r="E3" s="70"/>
      <c r="F3" s="70"/>
      <c r="G3" s="70"/>
      <c r="H3" s="70"/>
      <c r="I3" s="70"/>
      <c r="J3" s="70"/>
      <c r="K3" s="70"/>
      <c r="L3" s="70"/>
      <c r="M3" s="70"/>
      <c r="N3" s="70"/>
      <c r="O3" s="70"/>
      <c r="P3" s="70"/>
      <c r="Q3" s="70"/>
      <c r="R3" s="70"/>
    </row>
    <row r="4" spans="1:18" x14ac:dyDescent="0.2">
      <c r="A4" s="70"/>
      <c r="B4" s="70"/>
      <c r="C4" s="70"/>
      <c r="D4" s="70"/>
      <c r="E4" s="70"/>
      <c r="F4" s="70"/>
      <c r="G4" s="70"/>
      <c r="H4" s="70"/>
      <c r="I4" s="70"/>
      <c r="J4" s="70"/>
      <c r="K4" s="70"/>
      <c r="L4" s="70"/>
      <c r="M4" s="70"/>
      <c r="N4" s="70"/>
      <c r="O4" s="70"/>
      <c r="P4" s="70"/>
      <c r="Q4" s="70"/>
      <c r="R4" s="70"/>
    </row>
    <row r="5" spans="1:18" x14ac:dyDescent="0.2">
      <c r="A5" s="724">
        <v>1</v>
      </c>
      <c r="B5" s="70"/>
      <c r="C5" s="70"/>
      <c r="D5" s="70"/>
      <c r="E5" s="70"/>
      <c r="F5" s="70"/>
      <c r="G5" s="70"/>
      <c r="H5" s="70"/>
      <c r="I5" s="70"/>
      <c r="J5" s="70"/>
      <c r="K5" s="70"/>
      <c r="L5" s="70"/>
      <c r="M5" s="70"/>
      <c r="N5" s="70"/>
      <c r="O5" s="70"/>
      <c r="P5" s="70"/>
      <c r="Q5" s="70"/>
      <c r="R5" s="70"/>
    </row>
    <row r="6" spans="1:18" x14ac:dyDescent="0.2">
      <c r="A6" s="225"/>
      <c r="B6" s="70"/>
      <c r="C6" s="70"/>
      <c r="D6" s="70"/>
      <c r="E6" s="70"/>
      <c r="F6" s="70"/>
      <c r="G6" s="70"/>
      <c r="H6" s="70"/>
      <c r="I6" s="70"/>
      <c r="J6" s="70"/>
      <c r="K6" s="70"/>
      <c r="L6" s="70"/>
      <c r="M6" s="70"/>
      <c r="N6" s="70"/>
      <c r="O6" s="70"/>
      <c r="P6" s="70"/>
      <c r="Q6" s="70"/>
      <c r="R6" s="70"/>
    </row>
    <row r="7" spans="1:18" x14ac:dyDescent="0.2">
      <c r="A7" s="225"/>
      <c r="B7" s="70"/>
      <c r="C7" s="70"/>
      <c r="D7" s="70"/>
      <c r="E7" s="70"/>
      <c r="F7" s="70"/>
      <c r="G7" s="70"/>
      <c r="H7" s="70"/>
      <c r="I7" s="70"/>
      <c r="J7" s="70"/>
      <c r="K7" s="70"/>
      <c r="L7" s="70"/>
      <c r="M7" s="70"/>
      <c r="N7" s="70"/>
      <c r="O7" s="70"/>
      <c r="P7" s="70"/>
      <c r="Q7" s="70"/>
      <c r="R7" s="70"/>
    </row>
    <row r="8" spans="1:18" x14ac:dyDescent="0.2">
      <c r="A8" s="225"/>
      <c r="B8" s="70"/>
      <c r="C8" s="70"/>
      <c r="D8" s="70"/>
      <c r="E8" s="70"/>
      <c r="F8" s="70"/>
      <c r="G8" s="70"/>
      <c r="H8" s="70"/>
      <c r="I8" s="70"/>
      <c r="J8" s="70"/>
      <c r="K8" s="70"/>
      <c r="L8" s="70"/>
      <c r="M8" s="70"/>
      <c r="N8" s="70"/>
      <c r="O8" s="70"/>
      <c r="P8" s="70"/>
      <c r="Q8" s="70"/>
      <c r="R8" s="70"/>
    </row>
    <row r="9" spans="1:18" x14ac:dyDescent="0.2">
      <c r="A9" s="225"/>
      <c r="B9" s="70"/>
      <c r="C9" s="70"/>
      <c r="D9" s="70"/>
      <c r="E9" s="70"/>
      <c r="F9" s="70"/>
      <c r="G9" s="70"/>
      <c r="H9" s="70"/>
      <c r="I9" s="70"/>
      <c r="J9" s="70"/>
      <c r="K9" s="70"/>
      <c r="L9" s="70"/>
      <c r="M9" s="70"/>
      <c r="N9" s="70"/>
      <c r="O9" s="70"/>
      <c r="P9" s="70"/>
      <c r="Q9" s="70"/>
      <c r="R9" s="70"/>
    </row>
    <row r="10" spans="1:18" ht="12.75" customHeight="1" x14ac:dyDescent="0.2">
      <c r="A10" s="225"/>
      <c r="B10" s="70"/>
      <c r="C10" s="70"/>
      <c r="D10" s="70"/>
      <c r="E10" s="70"/>
      <c r="F10" s="70"/>
      <c r="G10" s="70"/>
      <c r="H10" s="70"/>
      <c r="I10" s="70"/>
      <c r="J10" s="70"/>
      <c r="K10" s="70"/>
      <c r="L10" s="70"/>
      <c r="M10" s="70"/>
      <c r="N10" s="70"/>
      <c r="O10" s="70"/>
      <c r="P10" s="70"/>
      <c r="Q10" s="70"/>
      <c r="R10" s="70"/>
    </row>
    <row r="11" spans="1:18" ht="12.75" customHeight="1" x14ac:dyDescent="0.2">
      <c r="A11" s="225"/>
      <c r="B11" s="70"/>
      <c r="C11" s="70"/>
      <c r="D11" s="70"/>
      <c r="E11" s="70"/>
      <c r="F11" s="70"/>
      <c r="G11" s="70"/>
      <c r="H11" s="70"/>
      <c r="I11" s="70"/>
      <c r="J11" s="70"/>
      <c r="K11" s="70"/>
      <c r="L11" s="70"/>
      <c r="M11" s="70"/>
      <c r="N11" s="70"/>
      <c r="O11" s="70"/>
      <c r="P11" s="70"/>
      <c r="Q11" s="70"/>
      <c r="R11" s="70"/>
    </row>
    <row r="12" spans="1:18" ht="12.75" customHeight="1" x14ac:dyDescent="0.2">
      <c r="A12" s="225"/>
      <c r="B12" s="70"/>
      <c r="C12" s="70"/>
      <c r="D12" s="70"/>
      <c r="E12" s="70"/>
      <c r="F12" s="70"/>
      <c r="G12" s="70"/>
      <c r="H12" s="70"/>
      <c r="I12" s="70"/>
      <c r="J12" s="70"/>
      <c r="K12" s="70"/>
      <c r="L12" s="70"/>
      <c r="M12" s="70"/>
      <c r="N12" s="70"/>
      <c r="O12" s="70"/>
      <c r="P12" s="70"/>
      <c r="Q12" s="70"/>
      <c r="R12" s="70"/>
    </row>
    <row r="13" spans="1:18" x14ac:dyDescent="0.2">
      <c r="A13" s="225"/>
      <c r="B13" s="70"/>
      <c r="C13" s="70"/>
      <c r="D13" s="70"/>
      <c r="E13" s="70"/>
      <c r="F13" s="70"/>
      <c r="G13" s="70"/>
      <c r="H13" s="70"/>
      <c r="I13" s="70"/>
      <c r="J13" s="70"/>
      <c r="K13" s="70"/>
      <c r="L13" s="70"/>
      <c r="M13" s="70"/>
      <c r="N13" s="70"/>
      <c r="O13" s="70"/>
      <c r="P13" s="70"/>
      <c r="Q13" s="70"/>
      <c r="R13" s="70"/>
    </row>
    <row r="14" spans="1:18" x14ac:dyDescent="0.2">
      <c r="A14" s="225"/>
      <c r="B14" s="70"/>
      <c r="C14" s="70"/>
      <c r="D14" s="70"/>
      <c r="E14" s="70"/>
      <c r="F14" s="70"/>
      <c r="G14" s="70"/>
      <c r="H14" s="70"/>
      <c r="I14" s="70"/>
      <c r="J14" s="70"/>
      <c r="K14" s="70"/>
      <c r="L14" s="70"/>
      <c r="M14" s="70"/>
      <c r="N14" s="70"/>
      <c r="O14" s="70"/>
      <c r="P14" s="70"/>
      <c r="Q14" s="70"/>
      <c r="R14" s="70"/>
    </row>
    <row r="15" spans="1:18" ht="15.75" x14ac:dyDescent="0.25">
      <c r="A15" s="225"/>
      <c r="B15" s="243" t="s">
        <v>660</v>
      </c>
      <c r="C15" s="70"/>
      <c r="D15" s="70"/>
      <c r="E15" s="70"/>
      <c r="F15" s="70"/>
      <c r="G15" s="70"/>
      <c r="H15" s="70"/>
      <c r="I15" s="70"/>
      <c r="J15" s="70"/>
      <c r="K15" s="70"/>
      <c r="L15" s="70"/>
      <c r="M15" s="70"/>
      <c r="N15" s="70"/>
      <c r="O15" s="70"/>
      <c r="P15" s="70"/>
      <c r="Q15" s="70"/>
      <c r="R15" s="70"/>
    </row>
    <row r="16" spans="1:18" ht="15" x14ac:dyDescent="0.25">
      <c r="A16" s="225"/>
      <c r="B16" s="70"/>
      <c r="C16" s="351" t="s">
        <v>2058</v>
      </c>
      <c r="D16" s="351" t="s">
        <v>2059</v>
      </c>
      <c r="E16" s="351" t="s">
        <v>2060</v>
      </c>
      <c r="F16" s="70"/>
      <c r="G16" s="70"/>
      <c r="H16" s="70"/>
      <c r="I16" s="70"/>
      <c r="J16" s="70"/>
      <c r="K16" s="70"/>
      <c r="L16" s="70"/>
      <c r="M16" s="70"/>
      <c r="N16" s="70"/>
      <c r="O16" s="70"/>
      <c r="P16" s="70"/>
      <c r="Q16" s="70"/>
      <c r="R16" s="70"/>
    </row>
    <row r="17" spans="1:18" ht="16.5" customHeight="1" x14ac:dyDescent="0.2">
      <c r="A17" s="723">
        <v>8</v>
      </c>
      <c r="B17" s="70"/>
      <c r="C17" s="350" t="str">
        <f>IF($A$5=1,CONCATENATE(LOOKUP($A$17,data_slings!$K$81:$K$97,data_slings!$E$81:$E$97)," lbs. WLL"),CONCATENATE(LOOKUP($A$17,data_slings!$K$81:$K$97,data_slings!$M$81:$M$97)," kgs. WLL"))</f>
        <v>9800 lbs. WLL</v>
      </c>
      <c r="D17" s="350" t="str">
        <f>IF($A$5=1,CONCATENATE(LOOKUP(A17,data_slings!K81:K97,data_slings!F81:F97)," lbs. WLL"),CONCATENATE(LOOKUP(A17,data_slings!K81:K97,data_slings!N81:N97)," kgs. WLL"))</f>
        <v>7200 lbs. WLL</v>
      </c>
      <c r="E17" s="350" t="str">
        <f>IF($A$5=1,CONCATENATE(LOOKUP(A17,data_slings!K81:K97,data_slings!G81:G97)," lbs. WLL"),CONCATENATE(LOOKUP(A17,data_slings!K81:K97,data_slings!O81:O97)," kgs. WLL"))</f>
        <v>19400 lbs. WLL</v>
      </c>
      <c r="F17" s="255"/>
      <c r="G17" s="70"/>
      <c r="H17" s="70"/>
      <c r="I17" s="70"/>
      <c r="J17" s="70"/>
      <c r="K17" s="70"/>
      <c r="L17" s="70"/>
      <c r="M17" s="70"/>
      <c r="N17" s="70"/>
      <c r="O17" s="70"/>
      <c r="P17" s="70"/>
      <c r="Q17" s="70"/>
      <c r="R17" s="70"/>
    </row>
    <row r="18" spans="1:18" ht="12.75" customHeight="1" x14ac:dyDescent="0.2">
      <c r="A18" s="349"/>
      <c r="B18" s="70"/>
      <c r="C18" s="461" t="str">
        <f>IF($A$5=1,CONCATENATE(ROUNDDOWN((LOOKUP($A$17,data_slings!$K$81:$K$97,data_slings!$E$81:$E$97)/2000),2)," US tons"),CONCATENATE(ROUNDDOWN((LOOKUP($A$17,data_slings!$K$81:$K$97,data_slings!$M$81:$M$97)/1000),2)," Metric tons"))</f>
        <v>4.9 US tons</v>
      </c>
      <c r="D18" s="461" t="str">
        <f>IF($A$5=1,CONCATENATE(ROUNDDOWN((LOOKUP($A$17,data_slings!$K$81:$K$97,data_slings!$F$81:$F$97)/2000),2)," US tons"),CONCATENATE(ROUNDDOWN((LOOKUP($A$17,data_slings!$K$81:$K$97,data_slings!$N$81:$N$97)/1000),2)," Metric tons"))</f>
        <v>3.6 US tons</v>
      </c>
      <c r="E18" s="461" t="str">
        <f>IF($A$5=1,CONCATENATE(ROUNDDOWN((LOOKUP($A$17,data_slings!$K$81:$K$97,data_slings!$G$81:$G$97)/2000),2)," US tons"),CONCATENATE(ROUNDDOWN((LOOKUP($A$17,data_slings!$K$81:$K$97,data_slings!$O$81:$O$97)/1000),2)," Metric tons"))</f>
        <v>9.7 US tons</v>
      </c>
      <c r="F18" s="255"/>
      <c r="G18" s="70"/>
      <c r="H18" s="70"/>
      <c r="I18" s="70"/>
      <c r="J18" s="70"/>
      <c r="K18" s="70"/>
      <c r="L18" s="70"/>
      <c r="M18" s="70"/>
      <c r="N18" s="70"/>
      <c r="O18" s="70"/>
      <c r="P18" s="70"/>
      <c r="Q18" s="70"/>
      <c r="R18" s="70"/>
    </row>
    <row r="19" spans="1:18" x14ac:dyDescent="0.2">
      <c r="A19" s="225"/>
      <c r="B19" s="70"/>
      <c r="C19" s="70"/>
      <c r="D19" s="70"/>
      <c r="E19" s="70"/>
      <c r="F19" s="70"/>
      <c r="G19" s="70"/>
      <c r="H19" s="70"/>
      <c r="I19" s="70"/>
      <c r="J19" s="70"/>
      <c r="K19" s="70"/>
      <c r="L19" s="70"/>
      <c r="M19" s="70"/>
      <c r="N19" s="70"/>
      <c r="O19" s="70"/>
      <c r="P19" s="70"/>
      <c r="Q19" s="70"/>
      <c r="R19" s="70"/>
    </row>
    <row r="20" spans="1:18" ht="14.25" customHeight="1" x14ac:dyDescent="0.2">
      <c r="A20" s="225"/>
      <c r="B20" s="963" t="s">
        <v>303</v>
      </c>
      <c r="C20" s="963"/>
      <c r="D20" s="963"/>
      <c r="E20" s="963"/>
      <c r="F20" s="70"/>
      <c r="G20" s="70"/>
      <c r="H20" s="70"/>
      <c r="I20" s="70"/>
      <c r="J20" s="70"/>
      <c r="K20" s="70"/>
      <c r="L20" s="70"/>
      <c r="M20" s="70"/>
      <c r="N20" s="70"/>
      <c r="O20" s="70"/>
      <c r="P20" s="70"/>
      <c r="Q20" s="70"/>
      <c r="R20" s="70"/>
    </row>
    <row r="21" spans="1:18" x14ac:dyDescent="0.2">
      <c r="A21" s="70"/>
      <c r="B21" s="70"/>
      <c r="C21" s="70"/>
      <c r="D21" s="70"/>
      <c r="E21" s="70"/>
      <c r="F21" s="70"/>
      <c r="G21" s="70"/>
      <c r="H21" s="70"/>
      <c r="I21" s="70"/>
      <c r="J21" s="70"/>
      <c r="K21" s="70"/>
      <c r="L21" s="70"/>
      <c r="M21" s="70"/>
      <c r="N21" s="70"/>
      <c r="O21" s="70"/>
      <c r="P21" s="70"/>
      <c r="Q21" s="70"/>
      <c r="R21" s="70"/>
    </row>
    <row r="22" spans="1:18" ht="12.75" customHeight="1" x14ac:dyDescent="0.2">
      <c r="A22" s="70"/>
      <c r="B22" s="964" t="s">
        <v>304</v>
      </c>
      <c r="C22" s="964"/>
      <c r="D22" s="964"/>
      <c r="E22" s="70"/>
      <c r="F22" s="70"/>
      <c r="G22" s="70"/>
      <c r="H22" s="70"/>
      <c r="I22" s="70"/>
      <c r="J22" s="70"/>
      <c r="K22" s="70"/>
      <c r="L22" s="70"/>
      <c r="M22" s="70"/>
      <c r="N22" s="70"/>
      <c r="O22" s="70"/>
      <c r="P22" s="70"/>
      <c r="Q22" s="70"/>
      <c r="R22" s="70"/>
    </row>
    <row r="23" spans="1:18" x14ac:dyDescent="0.2">
      <c r="A23" s="70"/>
      <c r="B23" s="523" t="s">
        <v>305</v>
      </c>
      <c r="C23" s="523"/>
      <c r="D23" s="523"/>
      <c r="E23" s="70"/>
      <c r="F23" s="70"/>
      <c r="G23" s="70"/>
      <c r="H23" s="70"/>
      <c r="I23" s="70"/>
      <c r="J23" s="70"/>
      <c r="K23" s="70"/>
      <c r="L23" s="70"/>
      <c r="M23" s="70"/>
      <c r="N23" s="70"/>
      <c r="O23" s="70"/>
      <c r="P23" s="70"/>
      <c r="Q23" s="70"/>
      <c r="R23" s="70"/>
    </row>
    <row r="24" spans="1:18" x14ac:dyDescent="0.2">
      <c r="A24" s="70"/>
      <c r="B24" s="522" t="s">
        <v>306</v>
      </c>
      <c r="C24" s="523"/>
      <c r="D24" s="523"/>
      <c r="E24" s="70"/>
      <c r="F24" s="70"/>
      <c r="G24" s="70"/>
      <c r="H24" s="70"/>
      <c r="I24" s="70"/>
      <c r="J24" s="70"/>
      <c r="K24" s="70"/>
      <c r="L24" s="70"/>
      <c r="M24" s="70"/>
      <c r="N24" s="70"/>
      <c r="O24" s="70"/>
      <c r="P24" s="70"/>
      <c r="Q24" s="70"/>
      <c r="R24" s="70"/>
    </row>
    <row r="25" spans="1:18" x14ac:dyDescent="0.2">
      <c r="A25" s="70"/>
      <c r="B25" s="523" t="s">
        <v>307</v>
      </c>
      <c r="C25" s="523"/>
      <c r="D25" s="523"/>
      <c r="E25" s="70"/>
      <c r="F25" s="70"/>
      <c r="G25" s="70"/>
      <c r="H25" s="70"/>
      <c r="I25" s="70"/>
      <c r="J25" s="70"/>
      <c r="K25" s="70"/>
      <c r="L25" s="70"/>
      <c r="M25" s="70"/>
      <c r="N25" s="70"/>
      <c r="O25" s="70"/>
      <c r="P25" s="70"/>
      <c r="Q25" s="70"/>
      <c r="R25" s="70"/>
    </row>
    <row r="26" spans="1:18" x14ac:dyDescent="0.2">
      <c r="A26" s="70"/>
      <c r="B26" s="70"/>
      <c r="C26" s="70"/>
      <c r="D26" s="70"/>
      <c r="E26" s="70"/>
      <c r="F26" s="70"/>
      <c r="G26" s="70"/>
      <c r="H26" s="70"/>
      <c r="I26" s="70"/>
      <c r="J26" s="70"/>
      <c r="K26" s="70"/>
      <c r="L26" s="70"/>
      <c r="M26" s="70"/>
      <c r="N26" s="70"/>
      <c r="O26" s="70"/>
      <c r="P26" s="70"/>
      <c r="Q26" s="70"/>
      <c r="R26" s="70"/>
    </row>
    <row r="27" spans="1:18" x14ac:dyDescent="0.2">
      <c r="A27" s="70"/>
      <c r="B27" s="707" t="str">
        <f>IF(MASTERSWITCH=1,"EVALUATION PERIOD EXPIRED!","")</f>
        <v/>
      </c>
      <c r="C27" s="70"/>
      <c r="D27" s="70"/>
      <c r="E27" s="70"/>
      <c r="F27" s="70"/>
      <c r="G27" s="70"/>
      <c r="H27" s="70"/>
      <c r="I27" s="70"/>
      <c r="J27" s="70"/>
      <c r="K27" s="70"/>
      <c r="L27" s="70"/>
      <c r="M27" s="70"/>
      <c r="N27" s="70"/>
      <c r="O27" s="70"/>
      <c r="P27" s="70"/>
      <c r="Q27" s="70"/>
      <c r="R27" s="70"/>
    </row>
    <row r="28" spans="1:18" x14ac:dyDescent="0.2">
      <c r="A28" s="70"/>
      <c r="B28" s="707" t="str">
        <f>IF(MASTERSWITCH=1,"PLEASE PURCHASE LICENSE TO","")</f>
        <v/>
      </c>
      <c r="C28" s="70"/>
      <c r="D28" s="70"/>
      <c r="E28" s="70"/>
      <c r="F28" s="70"/>
      <c r="G28" s="70"/>
      <c r="H28" s="70"/>
      <c r="I28" s="70"/>
      <c r="J28" s="70"/>
      <c r="K28" s="70"/>
      <c r="L28" s="70"/>
      <c r="M28" s="70"/>
      <c r="N28" s="70"/>
      <c r="O28" s="70"/>
      <c r="P28" s="70"/>
      <c r="Q28" s="70"/>
      <c r="R28" s="70"/>
    </row>
    <row r="29" spans="1:18" x14ac:dyDescent="0.2">
      <c r="A29" s="70"/>
      <c r="B29" s="707" t="str">
        <f>IF(MASTERSWITCH=1,"CONTINUE USING THIS PROGRAM","")</f>
        <v/>
      </c>
      <c r="C29" s="70"/>
      <c r="D29" s="70"/>
      <c r="E29" s="70"/>
      <c r="F29" s="70"/>
      <c r="G29" s="70"/>
      <c r="H29" s="70"/>
      <c r="I29" s="70"/>
      <c r="J29" s="70"/>
      <c r="K29" s="70"/>
      <c r="L29" s="70"/>
      <c r="M29" s="70"/>
      <c r="N29" s="70"/>
      <c r="O29" s="70"/>
      <c r="P29" s="70"/>
      <c r="Q29" s="70"/>
      <c r="R29" s="70"/>
    </row>
    <row r="30" spans="1:18" x14ac:dyDescent="0.2">
      <c r="A30" s="70"/>
      <c r="B30" s="70"/>
      <c r="C30" s="70"/>
      <c r="D30" s="70"/>
      <c r="E30" s="70"/>
      <c r="F30" s="70"/>
      <c r="G30" s="70"/>
      <c r="H30" s="70"/>
      <c r="I30" s="70"/>
      <c r="J30" s="70"/>
      <c r="K30" s="70"/>
      <c r="L30" s="70"/>
      <c r="M30" s="70"/>
      <c r="N30" s="70"/>
      <c r="O30" s="70"/>
      <c r="P30" s="70"/>
      <c r="Q30" s="70"/>
      <c r="R30" s="70"/>
    </row>
    <row r="31" spans="1:18" x14ac:dyDescent="0.2">
      <c r="A31" s="70"/>
      <c r="B31" s="70"/>
      <c r="C31" s="70"/>
      <c r="D31" s="70"/>
      <c r="E31" s="70"/>
      <c r="F31" s="70"/>
      <c r="G31" s="70"/>
      <c r="H31" s="70"/>
      <c r="I31" s="70"/>
      <c r="J31" s="70"/>
      <c r="K31" s="70"/>
      <c r="L31" s="70"/>
      <c r="M31" s="70"/>
      <c r="N31" s="70"/>
      <c r="O31" s="70"/>
      <c r="P31" s="70"/>
      <c r="Q31" s="70"/>
      <c r="R31" s="70"/>
    </row>
    <row r="32" spans="1:18" x14ac:dyDescent="0.2">
      <c r="A32" s="70"/>
      <c r="B32" s="70"/>
      <c r="C32" s="70"/>
      <c r="D32" s="70"/>
      <c r="E32" s="70"/>
      <c r="F32" s="70"/>
      <c r="G32" s="70"/>
      <c r="H32" s="70"/>
      <c r="I32" s="70"/>
      <c r="J32" s="70"/>
      <c r="K32" s="70"/>
      <c r="L32" s="70"/>
      <c r="M32" s="70"/>
      <c r="N32" s="70"/>
      <c r="O32" s="70"/>
      <c r="P32" s="70"/>
      <c r="Q32" s="70"/>
      <c r="R32" s="70"/>
    </row>
    <row r="33" spans="1:18" x14ac:dyDescent="0.2">
      <c r="A33" s="70"/>
      <c r="B33" s="70"/>
      <c r="C33" s="70"/>
      <c r="D33" s="70"/>
      <c r="E33" s="70"/>
      <c r="F33" s="70"/>
      <c r="G33" s="70"/>
      <c r="H33" s="70"/>
      <c r="I33" s="70"/>
      <c r="J33" s="70"/>
      <c r="K33" s="70"/>
      <c r="L33" s="70"/>
      <c r="M33" s="70"/>
      <c r="N33" s="70"/>
      <c r="O33" s="70"/>
      <c r="P33" s="70"/>
      <c r="Q33" s="70"/>
      <c r="R33" s="70"/>
    </row>
    <row r="34" spans="1:18" x14ac:dyDescent="0.2">
      <c r="A34" s="70"/>
      <c r="B34" s="70"/>
      <c r="C34" s="70"/>
      <c r="D34" s="70"/>
      <c r="E34" s="70"/>
      <c r="F34" s="70"/>
      <c r="G34" s="70"/>
      <c r="H34" s="70"/>
      <c r="I34" s="70"/>
      <c r="J34" s="70"/>
      <c r="K34" s="70"/>
      <c r="L34" s="70"/>
      <c r="M34" s="70"/>
      <c r="N34" s="70"/>
      <c r="O34" s="70"/>
      <c r="P34" s="70"/>
      <c r="Q34" s="70"/>
      <c r="R34" s="70"/>
    </row>
    <row r="35" spans="1:18" x14ac:dyDescent="0.2">
      <c r="A35" s="70"/>
      <c r="B35" s="70"/>
      <c r="C35" s="70"/>
      <c r="D35" s="70"/>
      <c r="E35" s="70"/>
      <c r="F35" s="70"/>
      <c r="G35" s="70"/>
      <c r="H35" s="70"/>
      <c r="I35" s="70"/>
      <c r="J35" s="70"/>
      <c r="K35" s="70"/>
      <c r="L35" s="70"/>
      <c r="M35" s="70"/>
      <c r="N35" s="70"/>
      <c r="O35" s="70"/>
      <c r="P35" s="70"/>
      <c r="Q35" s="70"/>
      <c r="R35" s="70"/>
    </row>
    <row r="36" spans="1:18" x14ac:dyDescent="0.2">
      <c r="A36" s="70"/>
      <c r="B36" s="70"/>
      <c r="C36" s="70"/>
      <c r="D36" s="70"/>
      <c r="E36" s="70"/>
      <c r="F36" s="70"/>
      <c r="G36" s="70"/>
      <c r="H36" s="70"/>
      <c r="I36" s="70"/>
      <c r="J36" s="70"/>
      <c r="K36" s="70"/>
      <c r="L36" s="70"/>
      <c r="M36" s="70"/>
      <c r="N36" s="70"/>
      <c r="O36" s="70"/>
      <c r="P36" s="70"/>
      <c r="Q36" s="70"/>
      <c r="R36" s="70"/>
    </row>
    <row r="37" spans="1:18" x14ac:dyDescent="0.2">
      <c r="A37" s="70"/>
      <c r="B37" s="70"/>
      <c r="C37" s="70"/>
      <c r="D37" s="70"/>
      <c r="E37" s="70"/>
      <c r="F37" s="70"/>
      <c r="G37" s="70"/>
      <c r="H37" s="70"/>
      <c r="I37" s="70"/>
      <c r="J37" s="70"/>
      <c r="K37" s="70"/>
      <c r="L37" s="70"/>
      <c r="M37" s="70"/>
      <c r="N37" s="70"/>
      <c r="O37" s="70"/>
      <c r="P37" s="70"/>
      <c r="Q37" s="70"/>
      <c r="R37" s="70"/>
    </row>
    <row r="38" spans="1:18" x14ac:dyDescent="0.2">
      <c r="A38" s="70"/>
      <c r="B38" s="70"/>
      <c r="C38" s="70"/>
      <c r="D38" s="70"/>
      <c r="E38" s="70"/>
      <c r="F38" s="70"/>
      <c r="G38" s="70"/>
      <c r="H38" s="70"/>
      <c r="I38" s="70"/>
      <c r="J38" s="70"/>
      <c r="K38" s="70"/>
      <c r="L38" s="70"/>
    </row>
    <row r="39" spans="1:18" x14ac:dyDescent="0.2">
      <c r="A39" s="70"/>
      <c r="B39" s="70"/>
      <c r="C39" s="70"/>
      <c r="D39" s="70"/>
      <c r="E39" s="70"/>
      <c r="F39" s="70"/>
      <c r="G39" s="70"/>
      <c r="H39" s="70"/>
      <c r="I39" s="70"/>
      <c r="J39" s="70"/>
      <c r="K39" s="70"/>
      <c r="L39" s="70"/>
    </row>
    <row r="40" spans="1:18" x14ac:dyDescent="0.2">
      <c r="A40" s="70"/>
      <c r="B40" s="70"/>
      <c r="C40" s="70"/>
      <c r="D40" s="70"/>
      <c r="E40" s="70"/>
      <c r="F40" s="70"/>
      <c r="G40" s="70"/>
      <c r="H40" s="70"/>
      <c r="I40" s="70"/>
      <c r="J40" s="70"/>
      <c r="K40" s="70"/>
      <c r="L40" s="70"/>
    </row>
    <row r="41" spans="1:18" x14ac:dyDescent="0.2">
      <c r="A41" s="70"/>
      <c r="B41" s="70"/>
      <c r="C41" s="70"/>
      <c r="D41" s="70"/>
      <c r="E41" s="70"/>
      <c r="F41" s="70"/>
      <c r="G41" s="70"/>
      <c r="H41" s="70"/>
      <c r="I41" s="70"/>
      <c r="J41" s="70"/>
      <c r="K41" s="70"/>
      <c r="L41" s="70"/>
    </row>
    <row r="42" spans="1:18" x14ac:dyDescent="0.2">
      <c r="A42" s="70"/>
      <c r="B42" s="70"/>
      <c r="C42" s="70"/>
      <c r="D42" s="70"/>
      <c r="E42" s="70"/>
      <c r="F42" s="70"/>
      <c r="G42" s="70"/>
      <c r="H42" s="70"/>
      <c r="I42" s="70"/>
      <c r="J42" s="70"/>
      <c r="K42" s="70"/>
      <c r="L42" s="70"/>
    </row>
    <row r="43" spans="1:18" x14ac:dyDescent="0.2">
      <c r="A43" s="70"/>
      <c r="B43" s="70"/>
      <c r="C43" s="70"/>
      <c r="D43" s="70"/>
      <c r="E43" s="70"/>
      <c r="F43" s="70"/>
      <c r="G43" s="70"/>
      <c r="H43" s="70"/>
      <c r="I43" s="70"/>
      <c r="J43" s="70"/>
      <c r="K43" s="70"/>
      <c r="L43" s="70"/>
    </row>
    <row r="44" spans="1:18" x14ac:dyDescent="0.2">
      <c r="A44" s="70"/>
      <c r="B44" s="70"/>
      <c r="C44" s="70"/>
      <c r="D44" s="70"/>
      <c r="E44" s="70"/>
      <c r="F44" s="70"/>
      <c r="G44" s="70"/>
      <c r="H44" s="70"/>
      <c r="I44" s="70"/>
      <c r="J44" s="70"/>
      <c r="K44" s="70"/>
      <c r="L44" s="70"/>
    </row>
    <row r="45" spans="1:18" x14ac:dyDescent="0.2">
      <c r="A45" s="70"/>
      <c r="B45" s="70"/>
      <c r="C45" s="70"/>
      <c r="D45" s="70"/>
      <c r="E45" s="70"/>
      <c r="F45" s="70"/>
      <c r="G45" s="70"/>
      <c r="H45" s="70"/>
      <c r="I45" s="70"/>
      <c r="J45" s="70"/>
      <c r="K45" s="70"/>
      <c r="L45" s="70"/>
    </row>
    <row r="46" spans="1:18" x14ac:dyDescent="0.2">
      <c r="A46" s="70"/>
      <c r="B46" s="70"/>
      <c r="C46" s="70"/>
      <c r="D46" s="70"/>
      <c r="E46" s="70"/>
      <c r="F46" s="70"/>
      <c r="G46" s="70"/>
      <c r="H46" s="70"/>
      <c r="I46" s="70"/>
      <c r="J46" s="70"/>
      <c r="K46" s="70"/>
      <c r="L46" s="70"/>
    </row>
  </sheetData>
  <sheetProtection password="D809" sheet="1" objects="1" scenarios="1" selectLockedCells="1"/>
  <mergeCells count="2">
    <mergeCell ref="B20:E20"/>
    <mergeCell ref="B22:D22"/>
  </mergeCells>
  <phoneticPr fontId="15" type="noConversion"/>
  <conditionalFormatting sqref="C17:E18">
    <cfRule type="expression" dxfId="36" priority="1" stopIfTrue="1">
      <formula>($A$5=2)</formula>
    </cfRule>
  </conditionalFormatting>
  <conditionalFormatting sqref="B27:B29">
    <cfRule type="expression" dxfId="35" priority="2" stopIfTrue="1">
      <formula>(MASTERSWITCH=1)</formula>
    </cfRule>
  </conditionalFormatting>
  <conditionalFormatting sqref="C14:E14">
    <cfRule type="expression" dxfId="34" priority="3" stopIfTrue="1">
      <formula>(MASTERSWITCH=1)</formula>
    </cfRule>
  </conditionalFormatting>
  <printOptions horizontalCentered="1"/>
  <pageMargins left="0.75" right="0.75" top="1.75" bottom="1.5" header="0.5" footer="0.5"/>
  <pageSetup scale="78" orientation="portrait" horizontalDpi="0" verticalDpi="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9408" r:id="rId5" name="Drop Down 16">
              <controlPr locked="0" defaultSize="0" autoLine="0" autoPict="0">
                <anchor moveWithCells="1">
                  <from>
                    <xdr:col>1</xdr:col>
                    <xdr:colOff>304800</xdr:colOff>
                    <xdr:row>16</xdr:row>
                    <xdr:rowOff>9525</xdr:rowOff>
                  </from>
                  <to>
                    <xdr:col>1</xdr:col>
                    <xdr:colOff>3171825</xdr:colOff>
                    <xdr:row>17</xdr:row>
                    <xdr:rowOff>0</xdr:rowOff>
                  </to>
                </anchor>
              </controlPr>
            </control>
          </mc:Choice>
        </mc:AlternateContent>
        <mc:AlternateContent xmlns:mc="http://schemas.openxmlformats.org/markup-compatibility/2006">
          <mc:Choice Requires="x14">
            <control shapeId="59397" r:id="rId6" name="Option Button 5">
              <controlPr defaultSize="0" autoFill="0" autoLine="0" autoPict="0">
                <anchor moveWithCells="1" sizeWithCells="1">
                  <from>
                    <xdr:col>0</xdr:col>
                    <xdr:colOff>1066800</xdr:colOff>
                    <xdr:row>2</xdr:row>
                    <xdr:rowOff>114300</xdr:rowOff>
                  </from>
                  <to>
                    <xdr:col>1</xdr:col>
                    <xdr:colOff>333375</xdr:colOff>
                    <xdr:row>4</xdr:row>
                    <xdr:rowOff>9525</xdr:rowOff>
                  </to>
                </anchor>
              </controlPr>
            </control>
          </mc:Choice>
        </mc:AlternateContent>
        <mc:AlternateContent xmlns:mc="http://schemas.openxmlformats.org/markup-compatibility/2006">
          <mc:Choice Requires="x14">
            <control shapeId="59399" r:id="rId7" name="Option Button 7">
              <controlPr defaultSize="0" autoFill="0" autoLine="0" autoPict="0">
                <anchor moveWithCells="1" sizeWithCells="1">
                  <from>
                    <xdr:col>1</xdr:col>
                    <xdr:colOff>314325</xdr:colOff>
                    <xdr:row>2</xdr:row>
                    <xdr:rowOff>114300</xdr:rowOff>
                  </from>
                  <to>
                    <xdr:col>1</xdr:col>
                    <xdr:colOff>857250</xdr:colOff>
                    <xdr:row>4</xdr:row>
                    <xdr:rowOff>9525</xdr:rowOff>
                  </to>
                </anchor>
              </controlPr>
            </control>
          </mc:Choice>
        </mc:AlternateContent>
        <mc:AlternateContent xmlns:mc="http://schemas.openxmlformats.org/markup-compatibility/2006">
          <mc:Choice Requires="x14">
            <control shapeId="59400" r:id="rId8" name="Group Box 8">
              <controlPr defaultSize="0" autoFill="0" autoPict="0">
                <anchor moveWithCells="1" sizeWithCells="1">
                  <from>
                    <xdr:col>0</xdr:col>
                    <xdr:colOff>1028700</xdr:colOff>
                    <xdr:row>2</xdr:row>
                    <xdr:rowOff>66675</xdr:rowOff>
                  </from>
                  <to>
                    <xdr:col>1</xdr:col>
                    <xdr:colOff>933450</xdr:colOff>
                    <xdr:row>4</xdr:row>
                    <xdr:rowOff>9525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pageSetUpPr fitToPage="1"/>
  </sheetPr>
  <dimension ref="A1:W45"/>
  <sheetViews>
    <sheetView showRowColHeaders="0" workbookViewId="0"/>
  </sheetViews>
  <sheetFormatPr defaultRowHeight="12.75" x14ac:dyDescent="0.2"/>
  <cols>
    <col min="1" max="1" width="13.7109375" style="12" customWidth="1"/>
    <col min="2" max="2" width="47.85546875" style="12" customWidth="1"/>
    <col min="3" max="3" width="16.42578125" style="12" customWidth="1"/>
    <col min="4" max="4" width="16.140625" style="12" customWidth="1"/>
    <col min="5" max="5" width="18.42578125" style="12" customWidth="1"/>
    <col min="6" max="6" width="4.140625" style="12" customWidth="1"/>
    <col min="7" max="7" width="7.28515625" style="12" customWidth="1"/>
    <col min="8" max="8" width="12.7109375" style="12" customWidth="1"/>
    <col min="9" max="9" width="6.42578125" style="12" customWidth="1"/>
    <col min="10" max="10" width="3.5703125" style="12" customWidth="1"/>
    <col min="11" max="11" width="12.7109375" style="12" customWidth="1"/>
    <col min="12" max="16384" width="9.140625" style="12"/>
  </cols>
  <sheetData>
    <row r="1" spans="1:18" x14ac:dyDescent="0.2">
      <c r="A1" s="247"/>
      <c r="B1"/>
      <c r="C1" s="70"/>
      <c r="D1" s="70"/>
      <c r="E1" s="70"/>
      <c r="F1" s="70"/>
      <c r="G1" s="70"/>
      <c r="H1" s="70"/>
      <c r="I1" s="70"/>
      <c r="J1" s="70"/>
      <c r="K1" s="70"/>
      <c r="L1" s="70"/>
      <c r="M1" s="70"/>
      <c r="N1" s="70"/>
      <c r="O1" s="70"/>
      <c r="P1" s="70"/>
      <c r="Q1" s="70"/>
      <c r="R1" s="70"/>
    </row>
    <row r="2" spans="1:18" x14ac:dyDescent="0.2">
      <c r="A2" s="70"/>
      <c r="B2" s="70"/>
      <c r="C2" s="70"/>
      <c r="D2" s="70"/>
      <c r="E2" s="70"/>
      <c r="F2" s="70"/>
      <c r="G2" s="70"/>
      <c r="H2" s="70"/>
      <c r="I2" s="70"/>
      <c r="J2" s="70"/>
      <c r="K2" s="70"/>
      <c r="L2" s="70"/>
      <c r="M2" s="70"/>
      <c r="N2" s="70"/>
      <c r="O2" s="70"/>
      <c r="P2" s="70"/>
      <c r="Q2" s="70"/>
      <c r="R2" s="70"/>
    </row>
    <row r="3" spans="1:18" x14ac:dyDescent="0.2">
      <c r="A3" s="70"/>
      <c r="B3" s="70"/>
      <c r="C3" s="70"/>
      <c r="D3" s="70"/>
      <c r="E3" s="70"/>
      <c r="F3" s="70"/>
      <c r="G3" s="70"/>
      <c r="H3" s="70"/>
      <c r="I3" s="70"/>
      <c r="J3" s="70"/>
      <c r="K3" s="70"/>
      <c r="L3" s="70"/>
      <c r="M3" s="70"/>
      <c r="N3" s="70"/>
      <c r="O3" s="70"/>
      <c r="P3" s="70"/>
      <c r="Q3" s="70"/>
      <c r="R3" s="70"/>
    </row>
    <row r="4" spans="1:18" x14ac:dyDescent="0.2">
      <c r="A4" s="70"/>
      <c r="B4" s="70"/>
      <c r="C4" s="70"/>
      <c r="D4" s="70"/>
      <c r="E4" s="70"/>
      <c r="F4" s="70"/>
      <c r="G4" s="70"/>
      <c r="H4" s="70"/>
      <c r="I4" s="70"/>
      <c r="J4" s="70"/>
      <c r="K4" s="70"/>
      <c r="L4" s="70"/>
      <c r="M4" s="70"/>
      <c r="N4" s="70"/>
      <c r="O4" s="70"/>
      <c r="P4" s="70"/>
      <c r="Q4" s="70"/>
      <c r="R4" s="70"/>
    </row>
    <row r="5" spans="1:18" x14ac:dyDescent="0.2">
      <c r="A5" s="724">
        <v>1</v>
      </c>
      <c r="B5" s="70"/>
      <c r="C5" s="70"/>
      <c r="D5" s="70"/>
      <c r="E5" s="70"/>
      <c r="F5" s="70"/>
      <c r="G5" s="70"/>
      <c r="H5" s="70"/>
      <c r="I5" s="70"/>
      <c r="J5" s="70"/>
      <c r="K5" s="70"/>
      <c r="L5" s="70"/>
      <c r="M5" s="70"/>
      <c r="N5" s="70"/>
      <c r="O5" s="70"/>
      <c r="P5" s="70"/>
      <c r="Q5" s="70"/>
      <c r="R5" s="70"/>
    </row>
    <row r="6" spans="1:18" x14ac:dyDescent="0.2">
      <c r="A6" s="225"/>
      <c r="B6" s="70"/>
      <c r="C6" s="70"/>
      <c r="D6" s="70"/>
      <c r="E6" s="70"/>
      <c r="F6" s="70"/>
      <c r="G6" s="70"/>
      <c r="H6" s="70"/>
      <c r="I6" s="70"/>
      <c r="J6" s="70"/>
      <c r="K6" s="70"/>
      <c r="L6" s="70"/>
      <c r="M6" s="70"/>
      <c r="N6" s="70"/>
      <c r="O6" s="70"/>
      <c r="P6" s="70"/>
      <c r="Q6" s="70"/>
      <c r="R6" s="70"/>
    </row>
    <row r="7" spans="1:18" x14ac:dyDescent="0.2">
      <c r="A7" s="225"/>
      <c r="B7" s="70"/>
      <c r="C7" s="70"/>
      <c r="D7" s="70"/>
      <c r="E7" s="70"/>
      <c r="F7" s="70"/>
      <c r="G7" s="70"/>
      <c r="H7" s="70"/>
      <c r="I7" s="70"/>
      <c r="J7" s="70"/>
      <c r="K7" s="70"/>
      <c r="L7" s="70"/>
      <c r="M7" s="70"/>
      <c r="N7" s="70"/>
      <c r="O7" s="70"/>
      <c r="P7" s="70"/>
      <c r="Q7" s="70"/>
      <c r="R7" s="70"/>
    </row>
    <row r="8" spans="1:18" x14ac:dyDescent="0.2">
      <c r="A8" s="225"/>
      <c r="B8" s="70"/>
      <c r="C8" s="70"/>
      <c r="D8" s="70"/>
      <c r="E8" s="70"/>
      <c r="F8" s="70"/>
      <c r="G8" s="70"/>
      <c r="H8" s="70"/>
      <c r="I8" s="70"/>
      <c r="J8" s="70"/>
      <c r="K8" s="70"/>
      <c r="L8" s="70"/>
      <c r="M8" s="70"/>
      <c r="N8" s="70"/>
      <c r="O8" s="70"/>
      <c r="P8" s="70"/>
      <c r="Q8" s="70"/>
      <c r="R8" s="70"/>
    </row>
    <row r="9" spans="1:18" x14ac:dyDescent="0.2">
      <c r="A9" s="225"/>
      <c r="B9" s="70"/>
      <c r="C9" s="70"/>
      <c r="D9" s="70"/>
      <c r="E9" s="70"/>
      <c r="F9" s="70"/>
      <c r="G9" s="70"/>
      <c r="H9" s="70"/>
      <c r="I9" s="70"/>
      <c r="J9" s="70"/>
      <c r="K9" s="70"/>
      <c r="L9" s="70"/>
      <c r="M9" s="70"/>
      <c r="N9" s="70"/>
      <c r="O9" s="70"/>
      <c r="P9" s="70"/>
      <c r="Q9" s="70"/>
      <c r="R9" s="70"/>
    </row>
    <row r="10" spans="1:18" x14ac:dyDescent="0.2">
      <c r="B10" s="255" t="str">
        <f>LOOKUP(A11,data_chains!A2:A19,data_chains!B2:B19)</f>
        <v>Grade 80</v>
      </c>
      <c r="C10" s="70"/>
      <c r="D10" s="70"/>
      <c r="F10" s="70"/>
      <c r="G10" s="70"/>
      <c r="H10" s="70"/>
      <c r="I10" s="70"/>
      <c r="J10" s="70"/>
      <c r="K10" s="70"/>
      <c r="L10" s="70"/>
      <c r="M10" s="70"/>
      <c r="N10" s="70"/>
      <c r="O10" s="70"/>
      <c r="P10" s="70"/>
      <c r="Q10" s="70"/>
      <c r="R10" s="70"/>
    </row>
    <row r="11" spans="1:18" ht="15" x14ac:dyDescent="0.25">
      <c r="A11" s="723">
        <v>5</v>
      </c>
      <c r="B11" s="70"/>
      <c r="C11" s="351" t="s">
        <v>2058</v>
      </c>
      <c r="D11" s="351" t="s">
        <v>2059</v>
      </c>
      <c r="E11" s="70"/>
      <c r="F11" s="70"/>
      <c r="G11" s="70"/>
      <c r="H11" s="70"/>
      <c r="I11" s="70"/>
      <c r="J11" s="70"/>
      <c r="K11" s="70"/>
      <c r="L11" s="70"/>
      <c r="M11" s="70"/>
      <c r="N11" s="70"/>
      <c r="O11" s="70"/>
      <c r="P11" s="70"/>
      <c r="Q11" s="70"/>
      <c r="R11" s="70"/>
    </row>
    <row r="12" spans="1:18" ht="16.5" customHeight="1" x14ac:dyDescent="0.2">
      <c r="B12" s="70"/>
      <c r="C12" s="350" t="str">
        <f>IF($A$5=1,CONCATENATE(LOOKUP(A11,data_chains!A2:A19,data_chains!D2:D19)," lbs. WLL"),CONCATENATE(LOOKUP(A11,data_chains!A2:A19,data_chains!L2:L19)," kgs. WLL"))</f>
        <v>12000 lbs. WLL</v>
      </c>
      <c r="D12" s="350" t="str">
        <f>IF($A$5=1,CONCATENATE(LOOKUP(A11,data_chains!A2:A19,data_chains!E2:E19)," lbs. WLL"),CONCATENATE(LOOKUP(A11,data_chains!A2:A19,data_chains!M2:M19)," kgs. WLL"))</f>
        <v>9600 lbs. WLL</v>
      </c>
      <c r="E12" s="70"/>
      <c r="F12" s="255"/>
      <c r="G12" s="70"/>
      <c r="H12" s="70"/>
      <c r="I12" s="70"/>
      <c r="J12" s="70"/>
      <c r="K12" s="70"/>
      <c r="L12" s="70"/>
      <c r="M12" s="70"/>
      <c r="N12" s="70"/>
      <c r="O12" s="70"/>
      <c r="P12" s="70"/>
      <c r="Q12" s="70"/>
      <c r="R12" s="70"/>
    </row>
    <row r="13" spans="1:18" ht="12.75" customHeight="1" x14ac:dyDescent="0.2">
      <c r="A13" s="225"/>
      <c r="B13" s="470" t="s">
        <v>1720</v>
      </c>
      <c r="C13" s="462" t="str">
        <f>IF($A$5=1,CONCATENATE(ROUNDDOWN((LOOKUP($A$11,data_chains!A2:A19,data_chains!D2:D19)/2000),2)," US tons"),CONCATENATE(ROUNDDOWN((LOOKUP($A$11,data_chains!A2:A19,data_chains!L2:L19)/1000),2)," Metric tons"))</f>
        <v>6 US tons</v>
      </c>
      <c r="D13" s="462" t="str">
        <f>IF($A$5=1,CONCATENATE(ROUNDDOWN((LOOKUP($A$11,data_chains!A2:A19,data_chains!E2:E19)/2000),2)," US tons"),CONCATENATE(ROUNDDOWN((LOOKUP($A$11,data_chains!A2:A19,data_chains!M2:M19)/1000),2)," Metric tons"))</f>
        <v>4.8 US tons</v>
      </c>
      <c r="E13" s="70"/>
      <c r="F13" s="70"/>
      <c r="G13" s="70"/>
      <c r="H13" s="70"/>
      <c r="I13" s="70"/>
      <c r="J13" s="70"/>
      <c r="K13" s="70"/>
      <c r="L13" s="70"/>
      <c r="M13" s="70"/>
      <c r="N13" s="70"/>
      <c r="O13" s="70"/>
      <c r="P13" s="70"/>
      <c r="Q13" s="70"/>
      <c r="R13" s="70"/>
    </row>
    <row r="14" spans="1:18" ht="15" x14ac:dyDescent="0.25">
      <c r="A14" s="70"/>
      <c r="B14" s="351" t="s">
        <v>1721</v>
      </c>
      <c r="C14" s="472" t="s">
        <v>1716</v>
      </c>
      <c r="D14" s="472" t="s">
        <v>1717</v>
      </c>
      <c r="E14" s="472" t="s">
        <v>1718</v>
      </c>
      <c r="F14" s="70"/>
      <c r="G14" s="70"/>
      <c r="H14" s="70"/>
      <c r="I14" s="70"/>
      <c r="J14" s="70"/>
      <c r="K14" s="70"/>
      <c r="L14" s="70"/>
      <c r="M14" s="70"/>
      <c r="N14" s="70"/>
      <c r="O14" s="70"/>
      <c r="P14" s="70"/>
      <c r="Q14" s="70"/>
      <c r="R14" s="70"/>
    </row>
    <row r="15" spans="1:18" x14ac:dyDescent="0.2">
      <c r="A15" s="70"/>
      <c r="B15" s="70"/>
      <c r="C15" s="350" t="str">
        <f>IF($A$5=1,CONCATENATE(LOOKUP($A$11,data_chains!$A2:$A19,data_chains!F2:F19)," lbs. WLL"),CONCATENATE(LOOKUP($A$11,data_chains!$A2:$A19,data_chains!N2:N19)," kgs. WLL"))</f>
        <v>20800 lbs. WLL</v>
      </c>
      <c r="D15" s="350" t="str">
        <f>IF($A$5=1,CONCATENATE(LOOKUP($A$11,data_chains!$A2:$A19,data_chains!G2:G19)," lbs. WLL"),CONCATENATE(LOOKUP($A$11,data_chains!$A2:$A19,data_chains!O2:O19)," kgs. WLL"))</f>
        <v>17000 lbs. WLL</v>
      </c>
      <c r="E15" s="350" t="str">
        <f>IF($A$5=1,CONCATENATE(LOOKUP($A$11,data_chains!$A2:$A19,data_chains!H2:H19)," lbs. WLL"),CONCATENATE(LOOKUP($A$11,data_chains!$A2:$A19,data_chains!P2:P19)," kgs. WLL"))</f>
        <v>12000 lbs. WLL</v>
      </c>
      <c r="F15" s="70"/>
      <c r="G15" s="70"/>
      <c r="H15" s="70"/>
      <c r="I15" s="70"/>
      <c r="J15" s="70"/>
      <c r="K15" s="70"/>
      <c r="L15" s="70"/>
      <c r="M15" s="70"/>
      <c r="N15" s="70"/>
      <c r="O15" s="70"/>
      <c r="P15" s="70"/>
      <c r="Q15" s="70"/>
      <c r="R15" s="70"/>
    </row>
    <row r="16" spans="1:18" x14ac:dyDescent="0.2">
      <c r="A16" s="70"/>
      <c r="B16" s="70"/>
      <c r="C16" s="462" t="str">
        <f>IF($A$5=1,CONCATENATE(ROUNDDOWN((LOOKUP($A$11,data_chains!$A2:$A19,data_chains!F2:F19)/2000),2)," US tons"),CONCATENATE(ROUNDDOWN((LOOKUP($A$11,data_chains!$A2:$A19,data_chains!N2:N19)/1000),2)," Metric tons"))</f>
        <v>10.4 US tons</v>
      </c>
      <c r="D16" s="462" t="str">
        <f>IF($A$5=1,CONCATENATE(ROUNDDOWN((LOOKUP($A$11,data_chains!$A2:$A19,data_chains!G2:G19)/2000),2)," US tons"),CONCATENATE(ROUNDDOWN((LOOKUP($A$11,data_chains!$A2:$A19,data_chains!O2:O19)/1000),2)," Metric tons"))</f>
        <v>8.5 US tons</v>
      </c>
      <c r="E16" s="462" t="str">
        <f>IF($A$5=1,CONCATENATE(ROUNDDOWN((LOOKUP($A$11,data_chains!$A2:$A19,data_chains!H2:H19)/2000),2)," US tons"),CONCATENATE(ROUNDDOWN((LOOKUP($A$11,data_chains!$A2:$A19,data_chains!P2:P19)/1000),2)," Metric tons"))</f>
        <v>6 US tons</v>
      </c>
      <c r="F16" s="70"/>
      <c r="G16" s="70"/>
      <c r="H16" s="70"/>
      <c r="I16" s="70"/>
      <c r="J16" s="70"/>
      <c r="K16" s="70"/>
      <c r="L16" s="70"/>
      <c r="M16" s="70"/>
      <c r="N16" s="70"/>
      <c r="O16" s="70"/>
      <c r="P16" s="70"/>
      <c r="Q16" s="70"/>
      <c r="R16" s="70"/>
    </row>
    <row r="17" spans="1:23" ht="58.5" customHeight="1" x14ac:dyDescent="0.2">
      <c r="A17" s="70"/>
      <c r="B17" s="70"/>
      <c r="C17" s="70"/>
      <c r="D17" s="70"/>
      <c r="E17" s="70"/>
      <c r="F17" s="70"/>
      <c r="G17" s="70"/>
      <c r="H17" s="70"/>
      <c r="I17" s="70"/>
      <c r="J17" s="70"/>
      <c r="K17" s="70"/>
      <c r="L17" s="70"/>
      <c r="M17" s="70"/>
      <c r="N17" s="70"/>
      <c r="O17" s="70"/>
      <c r="P17" s="70"/>
      <c r="Q17" s="70"/>
      <c r="R17" s="70"/>
    </row>
    <row r="18" spans="1:23" ht="15" x14ac:dyDescent="0.25">
      <c r="A18" s="70"/>
      <c r="B18" s="351" t="s">
        <v>1719</v>
      </c>
      <c r="C18" s="472" t="s">
        <v>1716</v>
      </c>
      <c r="D18" s="472" t="s">
        <v>1717</v>
      </c>
      <c r="E18" s="472" t="s">
        <v>1718</v>
      </c>
      <c r="F18" s="70"/>
      <c r="G18" s="70"/>
      <c r="H18" s="70"/>
      <c r="I18" s="70"/>
      <c r="J18" s="70"/>
      <c r="K18" s="70"/>
      <c r="L18" s="70"/>
      <c r="M18" s="70"/>
      <c r="N18" s="70"/>
      <c r="O18" s="70"/>
      <c r="P18" s="70"/>
      <c r="Q18" s="70"/>
      <c r="R18" s="70"/>
    </row>
    <row r="19" spans="1:23" x14ac:dyDescent="0.2">
      <c r="A19" s="70"/>
      <c r="B19" s="70"/>
      <c r="C19" s="350" t="str">
        <f>IF($A$5=1,CONCATENATE(LOOKUP($A$11,data_chains!$A2:$A19,data_chains!I2:I19)," lbs. WLL"),CONCATENATE(LOOKUP($A$11,data_chains!$A2:$A19,data_chains!Q2:Q19)," kgs. WLL"))</f>
        <v>31200 lbs. WLL</v>
      </c>
      <c r="D19" s="350" t="str">
        <f>IF($A$5=1,CONCATENATE(LOOKUP($A$11,data_chains!$A2:$A19,data_chains!J2:J19)," lbs. WLL"),CONCATENATE(LOOKUP($A$11,data_chains!$A2:$A19,data_chains!R2:R19)," kgs. WLL"))</f>
        <v>25500 lbs. WLL</v>
      </c>
      <c r="E19" s="350" t="str">
        <f>IF($A$5=1,CONCATENATE(LOOKUP($A$11,data_chains!$A2:$A19,data_chains!K2:K19)," lbs. WLL"),CONCATENATE(LOOKUP($A$11,data_chains!$A2:$A19,data_chains!S2:S19)," kgs. WLL"))</f>
        <v>1800 lbs. WLL</v>
      </c>
      <c r="F19" s="70"/>
      <c r="G19" s="70"/>
      <c r="H19" s="70"/>
      <c r="I19" s="70"/>
      <c r="J19" s="70"/>
      <c r="K19" s="70"/>
      <c r="L19" s="70"/>
      <c r="M19" s="70"/>
      <c r="N19" s="70"/>
      <c r="O19" s="70"/>
      <c r="P19" s="70"/>
      <c r="Q19" s="70"/>
      <c r="R19" s="70"/>
    </row>
    <row r="20" spans="1:23" x14ac:dyDescent="0.2">
      <c r="A20" s="70"/>
      <c r="B20" s="70"/>
      <c r="C20" s="462" t="str">
        <f>IF($A$5=1,CONCATENATE(ROUNDDOWN((LOOKUP($A$11,data_chains!$A2:$A19,data_chains!I2:I19)/2000),2)," US tons"),CONCATENATE(ROUNDDOWN((LOOKUP($A$11,data_chains!$A2:$A19,data_chains!Q2:Q19)/1000),2)," Metric tons"))</f>
        <v>15.6 US tons</v>
      </c>
      <c r="D20" s="462" t="str">
        <f>IF($A$5=1,CONCATENATE(ROUNDDOWN((LOOKUP($A$11,data_chains!$A2:$A19,data_chains!J2:J19)/2000),2)," US tons"),CONCATENATE(ROUNDDOWN((LOOKUP($A$11,data_chains!$A2:$A19,data_chains!R2:R19)/1000),2)," Metric tons"))</f>
        <v>12.75 US tons</v>
      </c>
      <c r="E20" s="462" t="str">
        <f>IF($A$5=1,CONCATENATE(ROUNDDOWN((LOOKUP($A$11,data_chains!$A2:$A19,data_chains!K2:K19)/2000),2)," US tons"),CONCATENATE(ROUNDDOWN((LOOKUP($A$11,data_chains!$A2:$A19,data_chains!S2:S19)/1000),2)," Metric tons"))</f>
        <v>0.9 US tons</v>
      </c>
      <c r="F20" s="70"/>
      <c r="G20" s="70"/>
      <c r="H20" s="70"/>
      <c r="I20" s="70"/>
      <c r="J20" s="70"/>
      <c r="K20" s="70"/>
      <c r="L20" s="70"/>
      <c r="M20" s="70"/>
      <c r="N20" s="70"/>
      <c r="O20" s="70"/>
      <c r="P20" s="70"/>
      <c r="Q20" s="70"/>
      <c r="R20" s="70"/>
    </row>
    <row r="21" spans="1:23" x14ac:dyDescent="0.2">
      <c r="A21" s="70"/>
      <c r="B21" s="70"/>
      <c r="C21" s="70"/>
      <c r="D21" s="70"/>
      <c r="E21" s="70"/>
      <c r="F21" s="70"/>
      <c r="G21" s="70"/>
      <c r="H21" s="70"/>
      <c r="I21" s="70"/>
      <c r="J21" s="70"/>
      <c r="K21" s="70"/>
      <c r="L21" s="70"/>
      <c r="M21" s="70"/>
      <c r="N21" s="70"/>
      <c r="O21" s="70"/>
      <c r="P21" s="70"/>
      <c r="Q21" s="70"/>
      <c r="R21" s="70"/>
    </row>
    <row r="22" spans="1:23" x14ac:dyDescent="0.2">
      <c r="A22" s="70"/>
      <c r="B22" s="70"/>
      <c r="C22" s="70"/>
      <c r="D22" s="70"/>
      <c r="E22" s="70"/>
      <c r="F22" s="70"/>
      <c r="G22" s="70"/>
      <c r="H22" s="70"/>
      <c r="I22" s="70"/>
      <c r="J22" s="70"/>
      <c r="K22" s="70"/>
      <c r="L22" s="70"/>
      <c r="M22" s="70"/>
      <c r="N22" s="70"/>
      <c r="O22" s="70"/>
      <c r="P22" s="70"/>
      <c r="Q22" s="70"/>
      <c r="R22" s="70"/>
    </row>
    <row r="23" spans="1:23" x14ac:dyDescent="0.2">
      <c r="A23" s="70"/>
      <c r="B23" s="70"/>
      <c r="C23" s="70"/>
      <c r="D23" s="70"/>
      <c r="E23" s="70"/>
      <c r="F23" s="70"/>
      <c r="G23" s="70"/>
      <c r="H23" s="70"/>
      <c r="I23" s="70"/>
      <c r="J23" s="70"/>
      <c r="K23" s="70"/>
      <c r="L23" s="70"/>
      <c r="M23" s="70"/>
      <c r="N23" s="70"/>
      <c r="O23" s="70"/>
      <c r="P23" s="70"/>
      <c r="Q23" s="70"/>
      <c r="R23" s="70"/>
    </row>
    <row r="24" spans="1:23" x14ac:dyDescent="0.2">
      <c r="A24" s="70"/>
      <c r="B24" s="70"/>
      <c r="C24" s="70"/>
      <c r="D24" s="70"/>
      <c r="E24" s="70"/>
      <c r="F24" s="70"/>
      <c r="G24" s="70"/>
      <c r="H24" s="70"/>
      <c r="I24" s="70"/>
      <c r="J24" s="70"/>
      <c r="K24" s="70"/>
      <c r="L24" s="70"/>
      <c r="M24" s="70"/>
      <c r="N24" s="70"/>
      <c r="O24" s="70"/>
      <c r="P24" s="70"/>
      <c r="Q24" s="70"/>
      <c r="R24" s="70"/>
    </row>
    <row r="25" spans="1:23" x14ac:dyDescent="0.2">
      <c r="A25" s="70"/>
      <c r="B25" s="70"/>
      <c r="C25" s="70"/>
      <c r="D25" s="70"/>
      <c r="E25" s="70"/>
      <c r="F25" s="70"/>
      <c r="G25" s="70"/>
      <c r="H25" s="70"/>
      <c r="I25" s="70"/>
      <c r="J25" s="70"/>
      <c r="K25" s="70"/>
      <c r="L25" s="70"/>
      <c r="M25" s="70"/>
      <c r="N25" s="70"/>
      <c r="O25" s="70"/>
      <c r="P25" s="70"/>
      <c r="Q25" s="70"/>
      <c r="R25" s="70"/>
    </row>
    <row r="26" spans="1:23" x14ac:dyDescent="0.2">
      <c r="A26" s="70"/>
      <c r="B26" s="70"/>
      <c r="C26" s="70"/>
      <c r="D26" s="70"/>
      <c r="E26" s="70"/>
      <c r="F26" s="70"/>
      <c r="G26" s="70"/>
      <c r="H26" s="70"/>
      <c r="I26" s="70"/>
      <c r="J26" s="70"/>
      <c r="K26" s="70"/>
      <c r="L26" s="70"/>
      <c r="M26" s="70"/>
      <c r="N26" s="70"/>
      <c r="O26" s="70"/>
      <c r="P26" s="70"/>
      <c r="Q26" s="70"/>
      <c r="R26" s="70"/>
    </row>
    <row r="27" spans="1:23" x14ac:dyDescent="0.2">
      <c r="A27" s="70"/>
      <c r="B27" s="707" t="str">
        <f>IF(MASTERSWITCH=1,"EVALUATION PERIOD EXPIRED!","")</f>
        <v/>
      </c>
      <c r="C27" s="965" t="s">
        <v>1694</v>
      </c>
      <c r="D27" s="965"/>
      <c r="E27" s="965"/>
      <c r="F27" s="70"/>
      <c r="G27" s="70"/>
      <c r="H27" s="70"/>
      <c r="I27" s="70"/>
      <c r="J27" s="70"/>
      <c r="K27" s="70"/>
      <c r="L27" s="70"/>
      <c r="M27" s="70"/>
      <c r="N27" s="70"/>
      <c r="O27" s="70"/>
      <c r="P27" s="70"/>
      <c r="Q27" s="70"/>
      <c r="R27" s="70"/>
    </row>
    <row r="28" spans="1:23" x14ac:dyDescent="0.2">
      <c r="A28" s="70"/>
      <c r="B28" s="707" t="str">
        <f>IF(MASTERSWITCH=1,"PLEASE PURCHASE LICENSE TO","")</f>
        <v/>
      </c>
      <c r="C28" s="965"/>
      <c r="D28" s="965"/>
      <c r="E28" s="965"/>
      <c r="F28" s="70"/>
      <c r="G28" s="70"/>
      <c r="H28" s="70"/>
      <c r="I28" s="70"/>
      <c r="J28" s="70"/>
      <c r="K28" s="70"/>
      <c r="L28" s="70"/>
      <c r="M28" s="70"/>
      <c r="N28" s="70"/>
      <c r="O28" s="70"/>
      <c r="P28" s="70"/>
      <c r="Q28" s="70"/>
      <c r="R28" s="70"/>
    </row>
    <row r="29" spans="1:23" x14ac:dyDescent="0.2">
      <c r="A29" s="70"/>
      <c r="B29" s="707" t="str">
        <f>IF(MASTERSWITCH=1,"CONTINUE USING THIS PROGRAM","")</f>
        <v/>
      </c>
      <c r="C29" s="70"/>
      <c r="D29" s="70"/>
      <c r="E29" s="70"/>
      <c r="F29" s="70"/>
      <c r="G29" s="70"/>
      <c r="H29" s="70"/>
      <c r="I29" s="70"/>
      <c r="J29" s="70"/>
      <c r="K29" s="70"/>
      <c r="L29" s="70"/>
      <c r="M29" s="70"/>
      <c r="N29" s="70"/>
      <c r="O29" s="70"/>
      <c r="P29" s="70"/>
      <c r="Q29" s="70"/>
      <c r="R29" s="70"/>
    </row>
    <row r="30" spans="1:23" x14ac:dyDescent="0.2">
      <c r="A30" s="70"/>
      <c r="B30" s="70"/>
      <c r="C30" s="70"/>
      <c r="D30" s="70"/>
      <c r="E30" s="70"/>
      <c r="F30" s="70"/>
      <c r="G30" s="70"/>
      <c r="H30" s="70"/>
      <c r="I30" s="70"/>
      <c r="J30" s="70"/>
      <c r="K30" s="70"/>
      <c r="L30" s="70"/>
      <c r="M30" s="70"/>
      <c r="N30" s="70"/>
      <c r="O30" s="70"/>
      <c r="P30" s="70"/>
      <c r="Q30" s="70"/>
      <c r="R30" s="70"/>
    </row>
    <row r="31" spans="1:23" x14ac:dyDescent="0.2">
      <c r="A31" s="70"/>
      <c r="B31" s="70"/>
      <c r="C31" s="70"/>
      <c r="D31" s="70"/>
      <c r="E31" s="70"/>
      <c r="F31" s="70"/>
      <c r="G31" s="70"/>
      <c r="H31" s="70"/>
      <c r="I31" s="70"/>
      <c r="J31" s="70"/>
      <c r="K31" s="70"/>
      <c r="L31" s="70"/>
      <c r="M31" s="70"/>
      <c r="N31" s="70"/>
      <c r="O31" s="70"/>
      <c r="P31" s="70"/>
      <c r="Q31" s="70"/>
      <c r="R31" s="70"/>
      <c r="S31" s="70"/>
      <c r="T31" s="70"/>
      <c r="U31" s="70"/>
      <c r="V31" s="70"/>
      <c r="W31" s="70"/>
    </row>
    <row r="32" spans="1:23" x14ac:dyDescent="0.2">
      <c r="A32" s="70"/>
      <c r="B32" s="70"/>
      <c r="C32" s="70"/>
      <c r="D32" s="70"/>
      <c r="E32" s="70"/>
      <c r="F32" s="70"/>
      <c r="G32" s="70"/>
      <c r="H32" s="70"/>
      <c r="I32" s="70"/>
      <c r="J32" s="70"/>
      <c r="K32" s="70"/>
      <c r="L32" s="70"/>
      <c r="M32" s="70"/>
      <c r="N32" s="70"/>
      <c r="O32" s="70"/>
      <c r="P32" s="70"/>
      <c r="Q32" s="70"/>
      <c r="R32" s="70"/>
      <c r="S32" s="70"/>
      <c r="T32" s="70"/>
      <c r="U32" s="70"/>
      <c r="V32" s="70"/>
      <c r="W32" s="70"/>
    </row>
    <row r="33" spans="1:23" x14ac:dyDescent="0.2">
      <c r="A33" s="70"/>
      <c r="B33" s="70"/>
      <c r="C33" s="70"/>
      <c r="D33" s="70"/>
      <c r="E33" s="70"/>
      <c r="F33" s="70"/>
      <c r="G33" s="70"/>
      <c r="H33" s="70"/>
      <c r="I33" s="70"/>
      <c r="J33" s="70"/>
      <c r="K33" s="70"/>
      <c r="L33" s="70"/>
      <c r="M33" s="70"/>
      <c r="N33" s="70"/>
      <c r="O33" s="70"/>
      <c r="P33" s="70"/>
      <c r="Q33" s="70"/>
      <c r="R33" s="70"/>
      <c r="S33" s="70"/>
      <c r="T33" s="70"/>
      <c r="U33" s="70"/>
      <c r="V33" s="70"/>
      <c r="W33" s="70"/>
    </row>
    <row r="34" spans="1:23" x14ac:dyDescent="0.2">
      <c r="A34" s="70"/>
      <c r="B34" s="70"/>
      <c r="C34" s="70"/>
      <c r="D34" s="70"/>
      <c r="E34" s="70"/>
      <c r="F34" s="70"/>
      <c r="G34" s="70"/>
      <c r="H34" s="70"/>
      <c r="I34" s="70"/>
      <c r="J34" s="70"/>
      <c r="K34" s="70"/>
      <c r="L34" s="70"/>
      <c r="M34" s="70"/>
      <c r="N34" s="70"/>
      <c r="O34" s="70"/>
      <c r="P34" s="70"/>
      <c r="Q34" s="70"/>
      <c r="R34" s="70"/>
      <c r="S34" s="70"/>
      <c r="T34" s="70"/>
      <c r="U34" s="70"/>
      <c r="V34" s="70"/>
      <c r="W34" s="70"/>
    </row>
    <row r="35" spans="1:23" x14ac:dyDescent="0.2">
      <c r="A35" s="70"/>
      <c r="B35" s="70"/>
      <c r="C35" s="70"/>
      <c r="D35" s="70"/>
      <c r="E35" s="70"/>
      <c r="F35" s="70"/>
      <c r="G35" s="70"/>
      <c r="H35" s="70"/>
      <c r="I35" s="70"/>
      <c r="J35" s="70"/>
      <c r="K35" s="70"/>
      <c r="L35" s="70"/>
      <c r="M35" s="70"/>
      <c r="N35" s="70"/>
      <c r="O35" s="70"/>
      <c r="P35" s="70"/>
      <c r="Q35" s="70"/>
      <c r="R35" s="70"/>
      <c r="S35" s="70"/>
      <c r="T35" s="70"/>
      <c r="U35" s="70"/>
      <c r="V35" s="70"/>
      <c r="W35" s="70"/>
    </row>
    <row r="36" spans="1:23" x14ac:dyDescent="0.2">
      <c r="A36" s="70"/>
      <c r="B36" s="70"/>
      <c r="C36" s="70"/>
      <c r="D36" s="70"/>
      <c r="E36" s="70"/>
      <c r="F36" s="70"/>
      <c r="G36" s="70"/>
      <c r="H36" s="70"/>
      <c r="I36" s="70"/>
      <c r="J36" s="70"/>
      <c r="K36" s="70"/>
      <c r="L36" s="70"/>
      <c r="M36" s="70"/>
      <c r="N36" s="70"/>
      <c r="O36" s="70"/>
      <c r="P36" s="70"/>
      <c r="Q36" s="70"/>
      <c r="R36" s="70"/>
      <c r="S36" s="70"/>
      <c r="T36" s="70"/>
      <c r="U36" s="70"/>
      <c r="V36" s="70"/>
      <c r="W36" s="70"/>
    </row>
    <row r="37" spans="1:23" x14ac:dyDescent="0.2">
      <c r="A37" s="70"/>
      <c r="B37" s="70"/>
      <c r="C37" s="70"/>
      <c r="D37" s="70"/>
      <c r="E37" s="70"/>
      <c r="F37" s="70"/>
      <c r="G37" s="70"/>
      <c r="H37" s="70"/>
      <c r="I37" s="70"/>
      <c r="J37" s="70"/>
      <c r="K37" s="70"/>
      <c r="L37" s="70"/>
      <c r="M37" s="70"/>
      <c r="N37" s="70"/>
      <c r="O37" s="70"/>
      <c r="P37" s="70"/>
      <c r="Q37" s="70"/>
      <c r="R37" s="70"/>
      <c r="S37" s="70"/>
      <c r="T37" s="70"/>
      <c r="U37" s="70"/>
      <c r="V37" s="70"/>
      <c r="W37" s="70"/>
    </row>
    <row r="38" spans="1:23" x14ac:dyDescent="0.2">
      <c r="A38" s="70"/>
      <c r="B38" s="70"/>
      <c r="C38" s="70"/>
      <c r="D38" s="70"/>
      <c r="E38" s="70"/>
      <c r="F38" s="70"/>
      <c r="G38" s="70"/>
      <c r="H38" s="70"/>
      <c r="I38" s="70"/>
      <c r="J38" s="70"/>
      <c r="K38" s="70"/>
      <c r="L38" s="70"/>
      <c r="M38" s="70"/>
      <c r="N38" s="70"/>
      <c r="O38" s="70"/>
      <c r="P38" s="70"/>
      <c r="Q38" s="70"/>
      <c r="R38" s="70"/>
      <c r="S38" s="70"/>
      <c r="T38" s="70"/>
      <c r="U38" s="70"/>
      <c r="V38" s="70"/>
      <c r="W38" s="70"/>
    </row>
    <row r="39" spans="1:23" x14ac:dyDescent="0.2">
      <c r="A39" s="70"/>
      <c r="B39" s="70"/>
      <c r="C39" s="70"/>
      <c r="D39" s="70"/>
      <c r="E39" s="70"/>
      <c r="F39" s="70"/>
      <c r="G39" s="70"/>
      <c r="H39" s="70"/>
      <c r="I39" s="70"/>
      <c r="J39" s="70"/>
      <c r="K39" s="70"/>
      <c r="L39" s="70"/>
      <c r="M39" s="70"/>
      <c r="N39" s="70"/>
      <c r="O39" s="70"/>
      <c r="P39" s="70"/>
      <c r="Q39" s="70"/>
      <c r="R39" s="70"/>
      <c r="S39" s="70"/>
      <c r="T39" s="70"/>
      <c r="U39" s="70"/>
      <c r="V39" s="70"/>
      <c r="W39" s="70"/>
    </row>
    <row r="40" spans="1:23" x14ac:dyDescent="0.2">
      <c r="A40" s="70"/>
      <c r="B40" s="70"/>
      <c r="C40" s="70"/>
      <c r="D40" s="70"/>
      <c r="E40" s="70"/>
      <c r="F40" s="70"/>
      <c r="G40" s="70"/>
      <c r="H40" s="70"/>
      <c r="I40" s="70"/>
      <c r="J40" s="70"/>
      <c r="K40" s="70"/>
      <c r="L40" s="70"/>
      <c r="M40" s="70"/>
      <c r="N40" s="70"/>
      <c r="O40" s="70"/>
      <c r="P40" s="70"/>
      <c r="Q40" s="70"/>
      <c r="R40" s="70"/>
      <c r="S40" s="70"/>
      <c r="T40" s="70"/>
      <c r="U40" s="70"/>
      <c r="V40" s="70"/>
      <c r="W40" s="70"/>
    </row>
    <row r="41" spans="1:23" x14ac:dyDescent="0.2">
      <c r="A41" s="70"/>
      <c r="B41" s="70"/>
      <c r="C41" s="70"/>
      <c r="D41" s="70"/>
      <c r="E41" s="70"/>
      <c r="F41" s="70"/>
      <c r="G41" s="70"/>
      <c r="H41" s="70"/>
      <c r="I41" s="70"/>
      <c r="J41" s="70"/>
      <c r="K41" s="70"/>
      <c r="L41" s="70"/>
      <c r="M41" s="70"/>
      <c r="N41" s="70"/>
      <c r="O41" s="70"/>
      <c r="P41" s="70"/>
      <c r="Q41" s="70"/>
      <c r="R41" s="70"/>
      <c r="S41" s="70"/>
      <c r="T41" s="70"/>
      <c r="U41" s="70"/>
      <c r="V41" s="70"/>
      <c r="W41" s="70"/>
    </row>
    <row r="42" spans="1:23" x14ac:dyDescent="0.2">
      <c r="A42" s="70"/>
      <c r="B42" s="70"/>
      <c r="C42" s="70"/>
      <c r="D42" s="70"/>
      <c r="E42" s="70"/>
      <c r="F42" s="70"/>
      <c r="G42" s="70"/>
      <c r="H42" s="70"/>
      <c r="I42" s="70"/>
      <c r="J42" s="70"/>
      <c r="K42" s="70"/>
      <c r="L42" s="70"/>
      <c r="M42" s="70"/>
      <c r="N42" s="70"/>
      <c r="O42" s="70"/>
      <c r="P42" s="70"/>
      <c r="Q42" s="70"/>
      <c r="R42" s="70"/>
      <c r="S42" s="70"/>
      <c r="T42" s="70"/>
      <c r="U42" s="70"/>
      <c r="V42" s="70"/>
      <c r="W42" s="70"/>
    </row>
    <row r="43" spans="1:23" x14ac:dyDescent="0.2">
      <c r="A43" s="70"/>
      <c r="B43" s="70"/>
      <c r="C43" s="70"/>
      <c r="D43" s="70"/>
      <c r="E43" s="70"/>
      <c r="F43" s="70"/>
      <c r="G43" s="70"/>
      <c r="H43" s="70"/>
      <c r="I43" s="70"/>
      <c r="J43" s="70"/>
      <c r="K43" s="70"/>
      <c r="L43" s="70"/>
      <c r="M43" s="70"/>
      <c r="N43" s="70"/>
      <c r="O43" s="70"/>
      <c r="P43" s="70"/>
      <c r="Q43" s="70"/>
      <c r="R43" s="70"/>
      <c r="S43" s="70"/>
      <c r="T43" s="70"/>
      <c r="U43" s="70"/>
      <c r="V43" s="70"/>
      <c r="W43" s="70"/>
    </row>
    <row r="44" spans="1:23" x14ac:dyDescent="0.2">
      <c r="A44" s="70"/>
      <c r="B44" s="70"/>
      <c r="C44" s="70"/>
      <c r="D44" s="70"/>
      <c r="E44" s="70"/>
      <c r="F44" s="70"/>
      <c r="G44" s="70"/>
      <c r="H44" s="70"/>
      <c r="I44" s="70"/>
      <c r="J44" s="70"/>
      <c r="K44" s="70"/>
      <c r="L44" s="70"/>
      <c r="M44" s="70"/>
      <c r="N44" s="70"/>
      <c r="O44" s="70"/>
      <c r="P44" s="70"/>
      <c r="Q44" s="70"/>
      <c r="R44" s="70"/>
      <c r="S44" s="70"/>
      <c r="T44" s="70"/>
      <c r="U44" s="70"/>
      <c r="V44" s="70"/>
      <c r="W44" s="70"/>
    </row>
    <row r="45" spans="1:23" x14ac:dyDescent="0.2">
      <c r="A45" s="70"/>
      <c r="B45" s="70"/>
      <c r="C45" s="70"/>
      <c r="D45" s="70"/>
      <c r="E45" s="70"/>
      <c r="F45" s="70"/>
      <c r="G45" s="70"/>
      <c r="H45" s="70"/>
      <c r="I45" s="70"/>
      <c r="J45" s="70"/>
      <c r="K45" s="70"/>
      <c r="L45" s="70"/>
      <c r="M45" s="70"/>
      <c r="N45" s="70"/>
      <c r="O45" s="70"/>
      <c r="P45" s="70"/>
      <c r="Q45" s="70"/>
      <c r="R45" s="70"/>
      <c r="S45" s="70"/>
      <c r="T45" s="70"/>
      <c r="U45" s="70"/>
      <c r="V45" s="70"/>
      <c r="W45" s="70"/>
    </row>
  </sheetData>
  <sheetProtection password="D809" sheet="1" objects="1" scenarios="1" selectLockedCells="1"/>
  <mergeCells count="1">
    <mergeCell ref="C27:E28"/>
  </mergeCells>
  <phoneticPr fontId="15" type="noConversion"/>
  <conditionalFormatting sqref="C13:D13 C16:E16 C20:E20">
    <cfRule type="expression" dxfId="33" priority="1" stopIfTrue="1">
      <formula>($A$5=2)</formula>
    </cfRule>
  </conditionalFormatting>
  <conditionalFormatting sqref="B10">
    <cfRule type="cellIs" dxfId="32" priority="2" stopIfTrue="1" operator="equal">
      <formula>"Grade 100"</formula>
    </cfRule>
  </conditionalFormatting>
  <conditionalFormatting sqref="B27:B29">
    <cfRule type="expression" dxfId="31" priority="3" stopIfTrue="1">
      <formula>(MASTERSWITCH=1)</formula>
    </cfRule>
  </conditionalFormatting>
  <conditionalFormatting sqref="C17:E17 C21:E25">
    <cfRule type="expression" dxfId="30" priority="4" stopIfTrue="1">
      <formula>(MASTERSWITCH=1)</formula>
    </cfRule>
  </conditionalFormatting>
  <conditionalFormatting sqref="C12:D12 C15:E15 C19:E19">
    <cfRule type="expression" dxfId="29" priority="5" stopIfTrue="1">
      <formula>($A$5=2)</formula>
    </cfRule>
    <cfRule type="expression" dxfId="28" priority="6" stopIfTrue="1">
      <formula>(MASTERSWITCH=1)</formula>
    </cfRule>
  </conditionalFormatting>
  <printOptions horizontalCentered="1"/>
  <pageMargins left="0.75" right="0.75" top="1.75" bottom="1.5" header="0.5" footer="0.5"/>
  <pageSetup scale="91" orientation="portrait" horizontalDpi="0" verticalDpi="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8387" r:id="rId5" name="Drop Down 19">
              <controlPr locked="0" defaultSize="0" autoLine="0" autoPict="0">
                <anchor moveWithCells="1">
                  <from>
                    <xdr:col>1</xdr:col>
                    <xdr:colOff>314325</xdr:colOff>
                    <xdr:row>10</xdr:row>
                    <xdr:rowOff>28575</xdr:rowOff>
                  </from>
                  <to>
                    <xdr:col>1</xdr:col>
                    <xdr:colOff>3076575</xdr:colOff>
                    <xdr:row>11</xdr:row>
                    <xdr:rowOff>57150</xdr:rowOff>
                  </to>
                </anchor>
              </controlPr>
            </control>
          </mc:Choice>
        </mc:AlternateContent>
        <mc:AlternateContent xmlns:mc="http://schemas.openxmlformats.org/markup-compatibility/2006">
          <mc:Choice Requires="x14">
            <control shapeId="58373" r:id="rId6" name="Option Button 5">
              <controlPr defaultSize="0" autoFill="0" autoLine="0" autoPict="0">
                <anchor moveWithCells="1" sizeWithCells="1">
                  <from>
                    <xdr:col>1</xdr:col>
                    <xdr:colOff>190500</xdr:colOff>
                    <xdr:row>3</xdr:row>
                    <xdr:rowOff>0</xdr:rowOff>
                  </from>
                  <to>
                    <xdr:col>1</xdr:col>
                    <xdr:colOff>628650</xdr:colOff>
                    <xdr:row>4</xdr:row>
                    <xdr:rowOff>57150</xdr:rowOff>
                  </to>
                </anchor>
              </controlPr>
            </control>
          </mc:Choice>
        </mc:AlternateContent>
        <mc:AlternateContent xmlns:mc="http://schemas.openxmlformats.org/markup-compatibility/2006">
          <mc:Choice Requires="x14">
            <control shapeId="58375" r:id="rId7" name="Option Button 7">
              <controlPr defaultSize="0" autoFill="0" autoLine="0" autoPict="0">
                <anchor moveWithCells="1" sizeWithCells="1">
                  <from>
                    <xdr:col>1</xdr:col>
                    <xdr:colOff>609600</xdr:colOff>
                    <xdr:row>3</xdr:row>
                    <xdr:rowOff>0</xdr:rowOff>
                  </from>
                  <to>
                    <xdr:col>1</xdr:col>
                    <xdr:colOff>1152525</xdr:colOff>
                    <xdr:row>4</xdr:row>
                    <xdr:rowOff>57150</xdr:rowOff>
                  </to>
                </anchor>
              </controlPr>
            </control>
          </mc:Choice>
        </mc:AlternateContent>
        <mc:AlternateContent xmlns:mc="http://schemas.openxmlformats.org/markup-compatibility/2006">
          <mc:Choice Requires="x14">
            <control shapeId="58376" r:id="rId8" name="Group Box 8">
              <controlPr defaultSize="0" autoFill="0" autoPict="0">
                <anchor moveWithCells="1" sizeWithCells="1">
                  <from>
                    <xdr:col>1</xdr:col>
                    <xdr:colOff>152400</xdr:colOff>
                    <xdr:row>2</xdr:row>
                    <xdr:rowOff>114300</xdr:rowOff>
                  </from>
                  <to>
                    <xdr:col>1</xdr:col>
                    <xdr:colOff>1228725</xdr:colOff>
                    <xdr:row>4</xdr:row>
                    <xdr:rowOff>57150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X52"/>
  <sheetViews>
    <sheetView showRowColHeaders="0" workbookViewId="0">
      <selection activeCell="D28" sqref="D28"/>
    </sheetView>
  </sheetViews>
  <sheetFormatPr defaultRowHeight="12.75" x14ac:dyDescent="0.2"/>
  <cols>
    <col min="1" max="1" width="5.42578125" customWidth="1"/>
    <col min="2" max="2" width="11" customWidth="1"/>
    <col min="3" max="3" width="37" customWidth="1"/>
    <col min="4" max="4" width="19.85546875" customWidth="1"/>
    <col min="5" max="5" width="37.140625" bestFit="1" customWidth="1"/>
    <col min="7" max="7" width="0" hidden="1" customWidth="1"/>
    <col min="8" max="8" width="23.140625" hidden="1" customWidth="1"/>
    <col min="9" max="9" width="42.42578125" hidden="1" customWidth="1"/>
    <col min="10" max="10" width="15.7109375" hidden="1" customWidth="1"/>
    <col min="11" max="11" width="9.140625" hidden="1" customWidth="1"/>
  </cols>
  <sheetData>
    <row r="1" spans="1:24" ht="25.5" customHeight="1" x14ac:dyDescent="0.25">
      <c r="A1" s="617"/>
      <c r="B1" s="617"/>
      <c r="C1" s="849" t="s">
        <v>245</v>
      </c>
      <c r="D1" s="849"/>
      <c r="E1" s="849"/>
      <c r="F1" s="25"/>
      <c r="G1" s="25"/>
      <c r="H1" s="25"/>
      <c r="I1" s="25"/>
      <c r="J1" s="25"/>
      <c r="K1" s="25"/>
      <c r="L1" s="25"/>
      <c r="M1" s="25"/>
      <c r="N1" s="25"/>
      <c r="O1" s="25"/>
      <c r="P1" s="25"/>
      <c r="Q1" s="25"/>
      <c r="R1" s="25"/>
      <c r="S1" s="25"/>
      <c r="T1" s="25"/>
      <c r="U1" s="25"/>
      <c r="V1" s="25"/>
      <c r="W1" s="25"/>
      <c r="X1" s="25"/>
    </row>
    <row r="2" spans="1:24" ht="4.5" customHeight="1" x14ac:dyDescent="0.2">
      <c r="A2" s="234"/>
      <c r="B2" s="234"/>
      <c r="C2" s="234"/>
      <c r="D2" s="234"/>
      <c r="E2" s="234"/>
      <c r="F2" s="25"/>
      <c r="G2" s="25"/>
      <c r="H2" s="25"/>
      <c r="I2" s="25"/>
      <c r="J2" s="25"/>
      <c r="K2" s="25"/>
      <c r="L2" s="25"/>
      <c r="M2" s="25"/>
      <c r="N2" s="25"/>
      <c r="O2" s="25"/>
      <c r="P2" s="25"/>
      <c r="Q2" s="25"/>
      <c r="R2" s="25"/>
      <c r="S2" s="25"/>
      <c r="T2" s="25"/>
      <c r="U2" s="25"/>
      <c r="V2" s="25"/>
      <c r="W2" s="25"/>
      <c r="X2" s="25"/>
    </row>
    <row r="3" spans="1:24" ht="13.5" thickBot="1" x14ac:dyDescent="0.25">
      <c r="A3" s="613"/>
      <c r="B3" s="848" t="s">
        <v>173</v>
      </c>
      <c r="C3" s="848"/>
      <c r="D3" s="848"/>
      <c r="E3" s="619"/>
      <c r="F3" s="25"/>
      <c r="G3" s="25"/>
      <c r="H3" s="227" t="s">
        <v>173</v>
      </c>
      <c r="I3" s="227"/>
      <c r="J3" s="227" t="s">
        <v>251</v>
      </c>
      <c r="K3" s="227"/>
      <c r="L3" s="25"/>
      <c r="M3" s="25"/>
      <c r="N3" s="25"/>
      <c r="O3" s="25"/>
      <c r="P3" s="25"/>
      <c r="Q3" s="25"/>
      <c r="R3" s="25"/>
      <c r="S3" s="25"/>
      <c r="T3" s="25"/>
      <c r="U3" s="25"/>
      <c r="V3" s="25"/>
      <c r="W3" s="25"/>
      <c r="X3" s="25"/>
    </row>
    <row r="4" spans="1:24" x14ac:dyDescent="0.2">
      <c r="A4" s="25"/>
      <c r="B4" s="42" t="s">
        <v>178</v>
      </c>
      <c r="C4" s="24" t="s">
        <v>2075</v>
      </c>
      <c r="D4" s="51" t="s">
        <v>179</v>
      </c>
      <c r="E4" s="376" t="s">
        <v>1303</v>
      </c>
      <c r="F4" s="25"/>
      <c r="G4" s="25"/>
      <c r="H4" s="25" t="s">
        <v>178</v>
      </c>
      <c r="I4" s="428" t="s">
        <v>2075</v>
      </c>
      <c r="J4" s="428" t="s">
        <v>208</v>
      </c>
      <c r="K4" s="25"/>
      <c r="L4" s="25"/>
      <c r="M4" s="25"/>
      <c r="N4" s="25"/>
      <c r="O4" s="25"/>
      <c r="P4" s="25"/>
      <c r="Q4" s="25"/>
      <c r="R4" s="25"/>
      <c r="S4" s="25"/>
      <c r="T4" s="25"/>
      <c r="U4" s="25"/>
      <c r="V4" s="25"/>
      <c r="W4" s="25"/>
      <c r="X4" s="25"/>
    </row>
    <row r="5" spans="1:24" x14ac:dyDescent="0.2">
      <c r="A5" s="25"/>
      <c r="B5" s="25"/>
      <c r="C5" s="24" t="s">
        <v>174</v>
      </c>
      <c r="D5" s="70"/>
      <c r="E5" s="376" t="s">
        <v>2084</v>
      </c>
      <c r="F5" s="25"/>
      <c r="G5" s="25"/>
      <c r="H5" s="25"/>
      <c r="I5" s="428" t="s">
        <v>174</v>
      </c>
      <c r="J5" s="428" t="s">
        <v>209</v>
      </c>
      <c r="K5" s="25"/>
      <c r="L5" s="25"/>
      <c r="M5" s="25"/>
      <c r="N5" s="25"/>
      <c r="O5" s="25"/>
      <c r="P5" s="25"/>
      <c r="Q5" s="25"/>
      <c r="R5" s="25"/>
      <c r="S5" s="25"/>
      <c r="T5" s="25"/>
      <c r="U5" s="25"/>
      <c r="V5" s="25"/>
      <c r="W5" s="25"/>
      <c r="X5" s="25"/>
    </row>
    <row r="6" spans="1:24" x14ac:dyDescent="0.2">
      <c r="A6" s="25"/>
      <c r="B6" s="25"/>
      <c r="C6" s="24" t="s">
        <v>175</v>
      </c>
      <c r="D6" s="70"/>
      <c r="E6" s="376" t="s">
        <v>180</v>
      </c>
      <c r="F6" s="25"/>
      <c r="G6" s="25"/>
      <c r="H6" s="25"/>
      <c r="I6" s="428" t="s">
        <v>175</v>
      </c>
      <c r="J6" s="428" t="s">
        <v>210</v>
      </c>
      <c r="K6" s="25"/>
      <c r="L6" s="25"/>
      <c r="M6" s="25"/>
      <c r="N6" s="25"/>
      <c r="O6" s="25"/>
      <c r="P6" s="25"/>
      <c r="Q6" s="25"/>
      <c r="R6" s="25"/>
      <c r="S6" s="25"/>
      <c r="T6" s="25"/>
      <c r="U6" s="25"/>
      <c r="V6" s="25"/>
      <c r="W6" s="25"/>
      <c r="X6" s="25"/>
    </row>
    <row r="7" spans="1:24" x14ac:dyDescent="0.2">
      <c r="A7" s="25"/>
      <c r="B7" s="25"/>
      <c r="C7" s="24" t="s">
        <v>176</v>
      </c>
      <c r="D7" s="70"/>
      <c r="E7" s="376" t="s">
        <v>181</v>
      </c>
      <c r="F7" s="25"/>
      <c r="G7" s="25"/>
      <c r="H7" s="25"/>
      <c r="I7" s="428" t="s">
        <v>176</v>
      </c>
      <c r="J7" s="428" t="s">
        <v>211</v>
      </c>
      <c r="K7" s="25"/>
      <c r="L7" s="25"/>
      <c r="M7" s="25"/>
      <c r="N7" s="25"/>
      <c r="O7" s="25"/>
      <c r="P7" s="25"/>
      <c r="Q7" s="25"/>
      <c r="R7" s="25"/>
      <c r="S7" s="25"/>
      <c r="T7" s="25"/>
      <c r="U7" s="25"/>
      <c r="V7" s="25"/>
      <c r="W7" s="25"/>
      <c r="X7" s="25"/>
    </row>
    <row r="8" spans="1:24" x14ac:dyDescent="0.2">
      <c r="A8" s="25"/>
      <c r="B8" s="25"/>
      <c r="C8" s="24" t="s">
        <v>2082</v>
      </c>
      <c r="D8" s="70"/>
      <c r="E8" s="356"/>
      <c r="F8" s="25"/>
      <c r="G8" s="25"/>
      <c r="H8" s="25"/>
      <c r="I8" s="428" t="s">
        <v>2082</v>
      </c>
      <c r="J8" s="428" t="s">
        <v>212</v>
      </c>
      <c r="K8" s="25"/>
      <c r="L8" s="25"/>
      <c r="M8" s="25"/>
      <c r="N8" s="25"/>
      <c r="O8" s="25"/>
      <c r="P8" s="25"/>
      <c r="Q8" s="25"/>
      <c r="R8" s="25"/>
      <c r="S8" s="25"/>
      <c r="T8" s="25"/>
      <c r="U8" s="25"/>
      <c r="V8" s="25"/>
      <c r="W8" s="25"/>
      <c r="X8" s="25"/>
    </row>
    <row r="9" spans="1:24" x14ac:dyDescent="0.2">
      <c r="A9" s="25"/>
      <c r="B9" s="25"/>
      <c r="C9" s="24" t="s">
        <v>177</v>
      </c>
      <c r="D9" s="51" t="s">
        <v>182</v>
      </c>
      <c r="E9" s="376" t="s">
        <v>183</v>
      </c>
      <c r="F9" s="25"/>
      <c r="G9" s="25"/>
      <c r="H9" s="25"/>
      <c r="I9" s="428" t="s">
        <v>177</v>
      </c>
      <c r="J9" s="428" t="s">
        <v>213</v>
      </c>
      <c r="K9" s="25"/>
      <c r="L9" s="25"/>
      <c r="M9" s="25"/>
      <c r="N9" s="25"/>
      <c r="O9" s="25"/>
      <c r="P9" s="25"/>
      <c r="Q9" s="25"/>
      <c r="R9" s="25"/>
      <c r="S9" s="25"/>
      <c r="T9" s="25"/>
      <c r="U9" s="25"/>
      <c r="V9" s="25"/>
      <c r="W9" s="25"/>
      <c r="X9" s="25"/>
    </row>
    <row r="10" spans="1:24" x14ac:dyDescent="0.2">
      <c r="A10" s="25"/>
      <c r="B10" s="25"/>
      <c r="C10" s="24" t="s">
        <v>2080</v>
      </c>
      <c r="D10" s="70"/>
      <c r="E10" s="376" t="s">
        <v>184</v>
      </c>
      <c r="F10" s="25"/>
      <c r="G10" s="25"/>
      <c r="H10" s="25"/>
      <c r="I10" s="428" t="s">
        <v>2080</v>
      </c>
      <c r="J10" s="428" t="s">
        <v>214</v>
      </c>
      <c r="K10" s="25"/>
      <c r="L10" s="25"/>
      <c r="M10" s="25"/>
      <c r="N10" s="25"/>
      <c r="O10" s="25"/>
      <c r="P10" s="25"/>
      <c r="Q10" s="25"/>
      <c r="R10" s="25"/>
      <c r="S10" s="25"/>
      <c r="T10" s="25"/>
      <c r="U10" s="25"/>
      <c r="V10" s="25"/>
      <c r="W10" s="25"/>
      <c r="X10" s="25"/>
    </row>
    <row r="11" spans="1:24" x14ac:dyDescent="0.2">
      <c r="A11" s="25"/>
      <c r="B11" s="25"/>
      <c r="C11" s="24" t="s">
        <v>2101</v>
      </c>
      <c r="D11" s="70"/>
      <c r="E11" s="376" t="s">
        <v>1346</v>
      </c>
      <c r="F11" s="25"/>
      <c r="G11" s="25"/>
      <c r="H11" s="25"/>
      <c r="I11" s="428" t="s">
        <v>2101</v>
      </c>
      <c r="J11" s="428" t="s">
        <v>215</v>
      </c>
      <c r="K11" s="25"/>
      <c r="L11" s="25"/>
      <c r="M11" s="25"/>
      <c r="N11" s="25"/>
      <c r="O11" s="25"/>
      <c r="P11" s="25"/>
      <c r="Q11" s="25"/>
      <c r="R11" s="25"/>
      <c r="S11" s="25"/>
      <c r="T11" s="25"/>
      <c r="U11" s="25"/>
      <c r="V11" s="25"/>
      <c r="W11" s="25"/>
      <c r="X11" s="25"/>
    </row>
    <row r="12" spans="1:24" x14ac:dyDescent="0.2">
      <c r="A12" s="25"/>
      <c r="B12" s="25"/>
      <c r="C12" s="24" t="s">
        <v>2078</v>
      </c>
      <c r="D12" s="70"/>
      <c r="E12" s="376" t="s">
        <v>1386</v>
      </c>
      <c r="F12" s="25"/>
      <c r="G12" s="25"/>
      <c r="H12" s="25"/>
      <c r="I12" s="428" t="s">
        <v>2078</v>
      </c>
      <c r="J12" s="428" t="s">
        <v>216</v>
      </c>
      <c r="K12" s="25"/>
      <c r="L12" s="25"/>
      <c r="M12" s="25"/>
      <c r="N12" s="25"/>
      <c r="O12" s="25"/>
      <c r="P12" s="25"/>
      <c r="Q12" s="25"/>
      <c r="R12" s="25"/>
      <c r="S12" s="25"/>
      <c r="T12" s="25"/>
      <c r="U12" s="25"/>
      <c r="V12" s="25"/>
      <c r="W12" s="25"/>
      <c r="X12" s="25"/>
    </row>
    <row r="13" spans="1:24" x14ac:dyDescent="0.2">
      <c r="A13" s="25"/>
      <c r="B13" s="25"/>
      <c r="C13" s="25"/>
      <c r="D13" s="70"/>
      <c r="E13" s="376" t="s">
        <v>185</v>
      </c>
      <c r="F13" s="25"/>
      <c r="G13" s="25"/>
      <c r="H13" s="25" t="s">
        <v>179</v>
      </c>
      <c r="I13" s="428" t="s">
        <v>1303</v>
      </c>
      <c r="J13" s="428" t="s">
        <v>217</v>
      </c>
      <c r="K13" s="25"/>
      <c r="L13" s="25"/>
      <c r="M13" s="25"/>
      <c r="N13" s="25"/>
      <c r="O13" s="25"/>
      <c r="P13" s="25"/>
      <c r="Q13" s="25"/>
      <c r="R13" s="25"/>
      <c r="S13" s="25"/>
      <c r="T13" s="25"/>
      <c r="U13" s="25"/>
      <c r="V13" s="25"/>
      <c r="W13" s="25"/>
      <c r="X13" s="25"/>
    </row>
    <row r="14" spans="1:24" ht="13.5" thickBot="1" x14ac:dyDescent="0.25">
      <c r="A14" s="848" t="s">
        <v>186</v>
      </c>
      <c r="B14" s="848"/>
      <c r="C14" s="848"/>
      <c r="D14" s="850" t="s">
        <v>195</v>
      </c>
      <c r="E14" s="851"/>
      <c r="F14" s="25"/>
      <c r="G14" s="25"/>
      <c r="H14" s="25"/>
      <c r="I14" s="428" t="s">
        <v>2084</v>
      </c>
      <c r="J14" s="428" t="s">
        <v>218</v>
      </c>
      <c r="K14" s="25"/>
      <c r="L14" s="25"/>
      <c r="M14" s="25"/>
      <c r="N14" s="25"/>
      <c r="O14" s="25"/>
      <c r="P14" s="25"/>
      <c r="Q14" s="25"/>
      <c r="R14" s="25"/>
      <c r="S14" s="25"/>
      <c r="T14" s="25"/>
      <c r="U14" s="25"/>
      <c r="V14" s="25"/>
      <c r="W14" s="25"/>
      <c r="X14" s="25"/>
    </row>
    <row r="15" spans="1:24" x14ac:dyDescent="0.2">
      <c r="A15" s="25"/>
      <c r="B15" s="42" t="s">
        <v>369</v>
      </c>
      <c r="C15" s="24" t="s">
        <v>188</v>
      </c>
      <c r="D15" s="618" t="s">
        <v>196</v>
      </c>
      <c r="E15" s="376" t="s">
        <v>197</v>
      </c>
      <c r="F15" s="25"/>
      <c r="G15" s="25"/>
      <c r="H15" s="25"/>
      <c r="I15" s="428" t="s">
        <v>180</v>
      </c>
      <c r="J15" s="428" t="s">
        <v>219</v>
      </c>
      <c r="K15" s="25"/>
      <c r="L15" s="25"/>
      <c r="M15" s="25"/>
      <c r="N15" s="25"/>
      <c r="O15" s="25"/>
      <c r="P15" s="25"/>
      <c r="Q15" s="25"/>
      <c r="R15" s="25"/>
      <c r="S15" s="25"/>
      <c r="T15" s="25"/>
      <c r="U15" s="25"/>
      <c r="V15" s="25"/>
      <c r="W15" s="25"/>
      <c r="X15" s="25"/>
    </row>
    <row r="16" spans="1:24" x14ac:dyDescent="0.2">
      <c r="A16" s="25"/>
      <c r="B16" s="25"/>
      <c r="C16" s="24" t="s">
        <v>189</v>
      </c>
      <c r="D16" s="615"/>
      <c r="E16" s="376" t="s">
        <v>198</v>
      </c>
      <c r="F16" s="25"/>
      <c r="G16" s="25"/>
      <c r="H16" s="25"/>
      <c r="I16" s="428" t="s">
        <v>181</v>
      </c>
      <c r="J16" s="428" t="s">
        <v>220</v>
      </c>
      <c r="K16" s="25"/>
      <c r="L16" s="25"/>
      <c r="M16" s="25"/>
      <c r="N16" s="25"/>
      <c r="O16" s="25"/>
      <c r="P16" s="25"/>
      <c r="Q16" s="25"/>
      <c r="R16" s="25"/>
      <c r="S16" s="25"/>
      <c r="T16" s="25"/>
      <c r="U16" s="25"/>
      <c r="V16" s="25"/>
      <c r="W16" s="25"/>
      <c r="X16" s="25"/>
    </row>
    <row r="17" spans="1:24" x14ac:dyDescent="0.2">
      <c r="A17" s="25"/>
      <c r="B17" s="25"/>
      <c r="C17" s="24" t="s">
        <v>190</v>
      </c>
      <c r="D17" s="615"/>
      <c r="E17" s="376" t="s">
        <v>200</v>
      </c>
      <c r="F17" s="25"/>
      <c r="G17" s="25"/>
      <c r="H17" s="25" t="s">
        <v>182</v>
      </c>
      <c r="I17" s="428" t="s">
        <v>183</v>
      </c>
      <c r="J17" s="428" t="s">
        <v>221</v>
      </c>
      <c r="K17" s="25"/>
      <c r="L17" s="25"/>
      <c r="M17" s="25"/>
      <c r="N17" s="25"/>
      <c r="O17" s="25"/>
      <c r="P17" s="25"/>
      <c r="Q17" s="25"/>
      <c r="R17" s="25"/>
      <c r="S17" s="25"/>
      <c r="T17" s="25"/>
      <c r="U17" s="25"/>
      <c r="V17" s="25"/>
      <c r="W17" s="25"/>
      <c r="X17" s="25"/>
    </row>
    <row r="18" spans="1:24" x14ac:dyDescent="0.2">
      <c r="A18" s="25"/>
      <c r="B18" s="42" t="s">
        <v>370</v>
      </c>
      <c r="C18" s="24" t="s">
        <v>191</v>
      </c>
      <c r="D18" s="615"/>
      <c r="E18" s="376" t="s">
        <v>199</v>
      </c>
      <c r="F18" s="25"/>
      <c r="G18" s="25"/>
      <c r="H18" s="25"/>
      <c r="I18" s="428" t="s">
        <v>184</v>
      </c>
      <c r="J18" s="428" t="s">
        <v>222</v>
      </c>
      <c r="K18" s="25"/>
      <c r="L18" s="25"/>
      <c r="M18" s="25"/>
      <c r="N18" s="25"/>
      <c r="O18" s="25"/>
      <c r="P18" s="25"/>
      <c r="Q18" s="25"/>
      <c r="R18" s="25"/>
      <c r="S18" s="25"/>
      <c r="T18" s="25"/>
      <c r="U18" s="25"/>
      <c r="V18" s="25"/>
      <c r="W18" s="25"/>
      <c r="X18" s="25"/>
    </row>
    <row r="19" spans="1:24" x14ac:dyDescent="0.2">
      <c r="A19" s="25"/>
      <c r="B19" s="25"/>
      <c r="C19" s="24" t="s">
        <v>1099</v>
      </c>
      <c r="D19" s="618" t="s">
        <v>1032</v>
      </c>
      <c r="E19" s="376" t="s">
        <v>332</v>
      </c>
      <c r="F19" s="25"/>
      <c r="G19" s="25"/>
      <c r="H19" s="25"/>
      <c r="I19" s="428" t="s">
        <v>1346</v>
      </c>
      <c r="J19" s="428" t="s">
        <v>223</v>
      </c>
      <c r="K19" s="25"/>
      <c r="L19" s="25"/>
      <c r="M19" s="25"/>
      <c r="N19" s="25"/>
      <c r="O19" s="25"/>
      <c r="P19" s="25"/>
      <c r="Q19" s="25"/>
      <c r="R19" s="25"/>
      <c r="S19" s="25"/>
      <c r="T19" s="25"/>
      <c r="U19" s="25"/>
      <c r="V19" s="25"/>
      <c r="W19" s="25"/>
      <c r="X19" s="25"/>
    </row>
    <row r="20" spans="1:24" x14ac:dyDescent="0.2">
      <c r="A20" s="25"/>
      <c r="B20" s="25"/>
      <c r="C20" s="24" t="s">
        <v>192</v>
      </c>
      <c r="D20" s="615"/>
      <c r="E20" s="376" t="s">
        <v>204</v>
      </c>
      <c r="F20" s="25"/>
      <c r="G20" s="25"/>
      <c r="H20" s="25"/>
      <c r="I20" s="428" t="s">
        <v>1386</v>
      </c>
      <c r="J20" s="428" t="s">
        <v>224</v>
      </c>
      <c r="K20" s="25"/>
      <c r="L20" s="25"/>
      <c r="M20" s="25"/>
      <c r="N20" s="25"/>
      <c r="O20" s="25"/>
      <c r="P20" s="25"/>
      <c r="Q20" s="25"/>
      <c r="R20" s="25"/>
      <c r="S20" s="25"/>
      <c r="T20" s="25"/>
      <c r="U20" s="25"/>
      <c r="V20" s="25"/>
      <c r="W20" s="25"/>
      <c r="X20" s="25"/>
    </row>
    <row r="21" spans="1:24" x14ac:dyDescent="0.2">
      <c r="A21" s="25"/>
      <c r="B21" s="25"/>
      <c r="C21" s="24" t="s">
        <v>193</v>
      </c>
      <c r="D21" s="618" t="s">
        <v>286</v>
      </c>
      <c r="E21" s="376" t="s">
        <v>205</v>
      </c>
      <c r="F21" s="25"/>
      <c r="G21" s="25"/>
      <c r="H21" s="25"/>
      <c r="I21" s="428" t="s">
        <v>185</v>
      </c>
      <c r="J21" s="428" t="s">
        <v>225</v>
      </c>
      <c r="K21" s="25"/>
      <c r="L21" s="25"/>
      <c r="M21" s="25"/>
      <c r="N21" s="25"/>
      <c r="O21" s="25"/>
      <c r="P21" s="25"/>
      <c r="Q21" s="25"/>
      <c r="R21" s="25"/>
      <c r="S21" s="25"/>
      <c r="T21" s="25"/>
      <c r="U21" s="25"/>
      <c r="V21" s="25"/>
      <c r="W21" s="25"/>
      <c r="X21" s="25"/>
    </row>
    <row r="22" spans="1:24" x14ac:dyDescent="0.2">
      <c r="A22" s="12"/>
      <c r="B22" s="25"/>
      <c r="C22" s="24" t="s">
        <v>194</v>
      </c>
      <c r="D22" s="615"/>
      <c r="E22" s="376" t="s">
        <v>333</v>
      </c>
      <c r="F22" s="25"/>
      <c r="G22" s="25"/>
      <c r="H22" s="25" t="s">
        <v>186</v>
      </c>
      <c r="I22" s="25"/>
      <c r="J22" s="25"/>
      <c r="K22" s="25"/>
      <c r="L22" s="25"/>
      <c r="M22" s="25"/>
      <c r="N22" s="25"/>
      <c r="O22" s="25"/>
      <c r="P22" s="25"/>
      <c r="Q22" s="25"/>
      <c r="R22" s="25"/>
      <c r="S22" s="25"/>
      <c r="T22" s="25"/>
      <c r="U22" s="25"/>
      <c r="V22" s="25"/>
      <c r="W22" s="25"/>
      <c r="X22" s="25"/>
    </row>
    <row r="23" spans="1:24" x14ac:dyDescent="0.2">
      <c r="A23" s="25"/>
      <c r="B23" s="25"/>
      <c r="C23" s="24" t="s">
        <v>201</v>
      </c>
      <c r="D23" s="615"/>
      <c r="E23" s="376" t="s">
        <v>207</v>
      </c>
      <c r="F23" s="25"/>
      <c r="G23" s="25"/>
      <c r="H23" s="25" t="s">
        <v>187</v>
      </c>
      <c r="I23" s="428" t="s">
        <v>188</v>
      </c>
      <c r="J23" s="428" t="s">
        <v>226</v>
      </c>
      <c r="K23" s="25"/>
      <c r="L23" s="25"/>
      <c r="M23" s="25"/>
      <c r="N23" s="25"/>
      <c r="O23" s="25"/>
      <c r="P23" s="25"/>
      <c r="Q23" s="25"/>
      <c r="R23" s="25"/>
      <c r="S23" s="25"/>
      <c r="T23" s="25"/>
      <c r="U23" s="25"/>
      <c r="V23" s="25"/>
      <c r="W23" s="25"/>
      <c r="X23" s="25"/>
    </row>
    <row r="24" spans="1:24" x14ac:dyDescent="0.2">
      <c r="A24" s="25"/>
      <c r="B24" s="25"/>
      <c r="C24" s="24" t="s">
        <v>202</v>
      </c>
      <c r="D24" s="615"/>
      <c r="E24" s="356"/>
      <c r="F24" s="25"/>
      <c r="G24" s="25"/>
      <c r="H24" s="25"/>
      <c r="I24" s="428" t="s">
        <v>189</v>
      </c>
      <c r="J24" s="428" t="s">
        <v>227</v>
      </c>
      <c r="K24" s="25"/>
      <c r="L24" s="25"/>
      <c r="M24" s="25"/>
      <c r="N24" s="25"/>
      <c r="O24" s="25"/>
      <c r="P24" s="25"/>
      <c r="Q24" s="25"/>
      <c r="R24" s="25"/>
      <c r="S24" s="25"/>
      <c r="T24" s="25"/>
      <c r="U24" s="25"/>
      <c r="V24" s="25"/>
      <c r="W24" s="25"/>
      <c r="X24" s="25"/>
    </row>
    <row r="25" spans="1:24" x14ac:dyDescent="0.2">
      <c r="A25" s="25"/>
      <c r="C25" s="25"/>
      <c r="D25" s="615"/>
      <c r="E25" s="356"/>
      <c r="F25" s="25"/>
      <c r="G25" s="25"/>
      <c r="H25" s="25"/>
      <c r="I25" s="428" t="s">
        <v>190</v>
      </c>
      <c r="J25" s="428" t="s">
        <v>228</v>
      </c>
      <c r="K25" s="25"/>
      <c r="L25" s="25"/>
      <c r="M25" s="25"/>
      <c r="N25" s="25"/>
      <c r="O25" s="25"/>
      <c r="P25" s="25"/>
      <c r="Q25" s="25"/>
      <c r="R25" s="25"/>
      <c r="S25" s="25"/>
      <c r="T25" s="25"/>
      <c r="U25" s="25"/>
      <c r="V25" s="25"/>
      <c r="W25" s="25"/>
      <c r="X25" s="25"/>
    </row>
    <row r="26" spans="1:24" ht="13.5" thickBot="1" x14ac:dyDescent="0.25">
      <c r="A26" s="613"/>
      <c r="B26" s="848" t="s">
        <v>246</v>
      </c>
      <c r="C26" s="848"/>
      <c r="D26" s="613"/>
      <c r="E26" s="613"/>
      <c r="F26" s="25"/>
      <c r="G26" s="25"/>
      <c r="H26" s="25" t="s">
        <v>476</v>
      </c>
      <c r="I26" s="428" t="s">
        <v>191</v>
      </c>
      <c r="J26" s="428" t="s">
        <v>229</v>
      </c>
      <c r="K26" s="25"/>
      <c r="L26" s="25"/>
      <c r="M26" s="25"/>
      <c r="N26" s="25"/>
      <c r="O26" s="25"/>
      <c r="P26" s="25"/>
      <c r="Q26" s="25"/>
      <c r="R26" s="25"/>
      <c r="S26" s="25"/>
      <c r="T26" s="25"/>
      <c r="U26" s="25"/>
      <c r="V26" s="25"/>
      <c r="W26" s="25"/>
      <c r="X26" s="25"/>
    </row>
    <row r="27" spans="1:24" x14ac:dyDescent="0.2">
      <c r="A27" s="25"/>
      <c r="B27" s="25"/>
      <c r="C27" s="24" t="s">
        <v>371</v>
      </c>
      <c r="D27" s="469" t="s">
        <v>372</v>
      </c>
      <c r="E27" s="356"/>
      <c r="F27" s="25"/>
      <c r="G27" s="25"/>
      <c r="H27" s="25"/>
      <c r="I27" s="428" t="s">
        <v>1099</v>
      </c>
      <c r="J27" s="428" t="s">
        <v>230</v>
      </c>
      <c r="K27" s="25"/>
      <c r="L27" s="25"/>
      <c r="M27" s="25"/>
      <c r="N27" s="25"/>
      <c r="O27" s="25"/>
      <c r="P27" s="25"/>
      <c r="Q27" s="25"/>
      <c r="R27" s="25"/>
      <c r="S27" s="25"/>
      <c r="T27" s="25"/>
      <c r="U27" s="25"/>
      <c r="V27" s="25"/>
      <c r="W27" s="25"/>
      <c r="X27" s="25"/>
    </row>
    <row r="28" spans="1:24" x14ac:dyDescent="0.2">
      <c r="A28" s="25"/>
      <c r="B28" s="25"/>
      <c r="C28" s="24" t="s">
        <v>1024</v>
      </c>
      <c r="D28" s="469" t="s">
        <v>373</v>
      </c>
      <c r="E28" s="356"/>
      <c r="F28" s="25"/>
      <c r="G28" s="25"/>
      <c r="H28" s="25"/>
      <c r="I28" s="428" t="s">
        <v>192</v>
      </c>
      <c r="J28" s="428" t="s">
        <v>231</v>
      </c>
      <c r="K28" s="25"/>
      <c r="L28" s="25"/>
      <c r="M28" s="25"/>
      <c r="N28" s="25"/>
      <c r="O28" s="25"/>
      <c r="P28" s="25"/>
      <c r="Q28" s="25"/>
      <c r="R28" s="25"/>
      <c r="S28" s="25"/>
      <c r="T28" s="25"/>
      <c r="U28" s="25"/>
      <c r="V28" s="25"/>
      <c r="W28" s="25"/>
      <c r="X28" s="25"/>
    </row>
    <row r="29" spans="1:24" x14ac:dyDescent="0.2">
      <c r="A29" s="25"/>
      <c r="B29" s="25"/>
      <c r="D29" s="70"/>
      <c r="E29" s="356"/>
      <c r="F29" s="25"/>
      <c r="G29" s="25"/>
      <c r="H29" s="25"/>
      <c r="I29" s="428" t="s">
        <v>193</v>
      </c>
      <c r="J29" s="428" t="s">
        <v>232</v>
      </c>
      <c r="K29" s="25"/>
      <c r="L29" s="25"/>
      <c r="M29" s="25"/>
      <c r="N29" s="25"/>
      <c r="O29" s="25"/>
      <c r="P29" s="25"/>
      <c r="Q29" s="25"/>
      <c r="R29" s="25"/>
      <c r="S29" s="25"/>
      <c r="T29" s="25"/>
      <c r="U29" s="25"/>
      <c r="V29" s="25"/>
      <c r="W29" s="25"/>
      <c r="X29" s="25"/>
    </row>
    <row r="30" spans="1:24" x14ac:dyDescent="0.2">
      <c r="A30" s="620"/>
      <c r="B30" s="304"/>
      <c r="C30" s="620"/>
      <c r="D30" s="620"/>
      <c r="E30" s="621"/>
      <c r="F30" s="25"/>
      <c r="G30" s="25"/>
      <c r="H30" s="25"/>
      <c r="I30" s="428" t="s">
        <v>194</v>
      </c>
      <c r="J30" s="428" t="s">
        <v>233</v>
      </c>
      <c r="K30" s="25"/>
      <c r="L30" s="25"/>
      <c r="M30" s="25"/>
      <c r="N30" s="25"/>
      <c r="O30" s="25"/>
      <c r="P30" s="25"/>
      <c r="Q30" s="25"/>
      <c r="R30" s="25"/>
      <c r="S30" s="25"/>
      <c r="T30" s="25"/>
      <c r="U30" s="25"/>
      <c r="V30" s="25"/>
      <c r="W30" s="25"/>
      <c r="X30" s="25"/>
    </row>
    <row r="31" spans="1:24" x14ac:dyDescent="0.2">
      <c r="A31" s="25"/>
      <c r="B31" s="633"/>
      <c r="C31" s="25"/>
      <c r="D31" s="25"/>
      <c r="E31" s="25"/>
      <c r="F31" s="25"/>
      <c r="G31" s="25"/>
      <c r="H31" s="25"/>
      <c r="I31" s="428" t="s">
        <v>201</v>
      </c>
      <c r="J31" s="428" t="s">
        <v>234</v>
      </c>
      <c r="K31" s="25"/>
      <c r="L31" s="25"/>
      <c r="M31" s="25"/>
      <c r="N31" s="25"/>
      <c r="O31" s="25"/>
      <c r="P31" s="25"/>
      <c r="Q31" s="25"/>
      <c r="R31" s="25"/>
      <c r="S31" s="25"/>
      <c r="T31" s="25"/>
      <c r="U31" s="25"/>
      <c r="V31" s="25"/>
      <c r="W31" s="25"/>
      <c r="X31" s="25"/>
    </row>
    <row r="32" spans="1:24" x14ac:dyDescent="0.2">
      <c r="A32" s="25"/>
      <c r="B32" s="25"/>
      <c r="C32" s="25"/>
      <c r="D32" s="25"/>
      <c r="E32" s="25"/>
      <c r="F32" s="25"/>
      <c r="G32" s="25"/>
      <c r="H32" s="25"/>
      <c r="I32" s="428" t="s">
        <v>202</v>
      </c>
      <c r="J32" s="428" t="s">
        <v>235</v>
      </c>
      <c r="K32" s="25"/>
      <c r="L32" s="25"/>
      <c r="M32" s="25"/>
      <c r="N32" s="25"/>
      <c r="O32" s="25"/>
      <c r="P32" s="25"/>
      <c r="Q32" s="25"/>
      <c r="R32" s="25"/>
      <c r="S32" s="25"/>
      <c r="T32" s="25"/>
      <c r="U32" s="25"/>
      <c r="V32" s="25"/>
      <c r="W32" s="25"/>
      <c r="X32" s="25"/>
    </row>
    <row r="33" spans="1:24" x14ac:dyDescent="0.2">
      <c r="A33" s="70"/>
      <c r="B33" s="25"/>
      <c r="C33" s="25"/>
      <c r="D33" s="25"/>
      <c r="E33" s="25"/>
      <c r="F33" s="25"/>
      <c r="G33" s="25"/>
      <c r="H33" s="25" t="s">
        <v>195</v>
      </c>
      <c r="I33" s="25"/>
      <c r="J33" s="25"/>
      <c r="K33" s="25"/>
      <c r="L33" s="25"/>
      <c r="M33" s="25"/>
      <c r="N33" s="25"/>
      <c r="O33" s="25"/>
      <c r="P33" s="25"/>
      <c r="Q33" s="25"/>
      <c r="R33" s="25"/>
      <c r="S33" s="25"/>
      <c r="T33" s="25"/>
      <c r="U33" s="25"/>
      <c r="V33" s="25"/>
      <c r="W33" s="25"/>
      <c r="X33" s="25"/>
    </row>
    <row r="34" spans="1:24" x14ac:dyDescent="0.2">
      <c r="A34" s="25"/>
      <c r="B34" s="25"/>
      <c r="C34" s="25"/>
      <c r="D34" s="25"/>
      <c r="E34" s="25"/>
      <c r="F34" s="25"/>
      <c r="G34" s="25"/>
      <c r="H34" s="25" t="s">
        <v>196</v>
      </c>
      <c r="I34" s="428" t="s">
        <v>197</v>
      </c>
      <c r="J34" s="428" t="s">
        <v>236</v>
      </c>
      <c r="K34" s="25"/>
      <c r="L34" s="25"/>
      <c r="M34" s="25"/>
      <c r="N34" s="25"/>
      <c r="O34" s="25"/>
      <c r="P34" s="25"/>
      <c r="Q34" s="25"/>
      <c r="R34" s="25"/>
      <c r="S34" s="25"/>
      <c r="T34" s="25"/>
      <c r="U34" s="25"/>
      <c r="V34" s="25"/>
      <c r="W34" s="25"/>
      <c r="X34" s="25"/>
    </row>
    <row r="35" spans="1:24" x14ac:dyDescent="0.2">
      <c r="A35" s="25"/>
      <c r="B35" s="25"/>
      <c r="C35" s="25"/>
      <c r="D35" s="25"/>
      <c r="E35" s="25"/>
      <c r="F35" s="25"/>
      <c r="G35" s="25"/>
      <c r="H35" s="25"/>
      <c r="I35" s="428" t="s">
        <v>198</v>
      </c>
      <c r="J35" s="428" t="s">
        <v>237</v>
      </c>
      <c r="K35" s="25"/>
      <c r="L35" s="25"/>
      <c r="M35" s="25"/>
      <c r="N35" s="25"/>
      <c r="O35" s="25"/>
      <c r="P35" s="25"/>
      <c r="Q35" s="25"/>
      <c r="R35" s="25"/>
      <c r="S35" s="25"/>
      <c r="T35" s="25"/>
      <c r="U35" s="25"/>
      <c r="V35" s="25"/>
      <c r="W35" s="25"/>
      <c r="X35" s="25"/>
    </row>
    <row r="36" spans="1:24" x14ac:dyDescent="0.2">
      <c r="A36" s="25"/>
      <c r="B36" s="25"/>
      <c r="C36" s="25"/>
      <c r="D36" s="25"/>
      <c r="E36" s="25"/>
      <c r="F36" s="25"/>
      <c r="G36" s="25"/>
      <c r="H36" s="25"/>
      <c r="I36" s="428" t="s">
        <v>200</v>
      </c>
      <c r="J36" s="428" t="s">
        <v>238</v>
      </c>
      <c r="K36" s="25"/>
      <c r="L36" s="25"/>
      <c r="M36" s="25"/>
      <c r="N36" s="25"/>
      <c r="O36" s="25"/>
      <c r="P36" s="25"/>
      <c r="Q36" s="25"/>
      <c r="R36" s="25"/>
      <c r="S36" s="25"/>
      <c r="T36" s="25"/>
      <c r="U36" s="25"/>
      <c r="V36" s="25"/>
      <c r="W36" s="25"/>
      <c r="X36" s="25"/>
    </row>
    <row r="37" spans="1:24" x14ac:dyDescent="0.2">
      <c r="A37" s="25"/>
      <c r="B37" s="25"/>
      <c r="C37" s="25"/>
      <c r="D37" s="25"/>
      <c r="E37" s="25"/>
      <c r="F37" s="25"/>
      <c r="G37" s="25"/>
      <c r="H37" s="25"/>
      <c r="I37" s="428" t="s">
        <v>199</v>
      </c>
      <c r="J37" s="428" t="s">
        <v>239</v>
      </c>
      <c r="K37" s="25"/>
      <c r="L37" s="25"/>
      <c r="M37" s="25"/>
      <c r="N37" s="25"/>
      <c r="O37" s="25"/>
      <c r="P37" s="25"/>
      <c r="Q37" s="25"/>
      <c r="R37" s="25"/>
      <c r="S37" s="25"/>
      <c r="T37" s="25"/>
      <c r="U37" s="25"/>
      <c r="V37" s="25"/>
      <c r="W37" s="25"/>
      <c r="X37" s="25"/>
    </row>
    <row r="38" spans="1:24" x14ac:dyDescent="0.2">
      <c r="A38" s="25"/>
      <c r="B38" s="25"/>
      <c r="C38" s="25"/>
      <c r="D38" s="25"/>
      <c r="E38" s="25"/>
      <c r="F38" s="25"/>
      <c r="G38" s="25"/>
      <c r="H38" s="25" t="s">
        <v>1032</v>
      </c>
      <c r="I38" s="428" t="s">
        <v>203</v>
      </c>
      <c r="J38" s="428" t="s">
        <v>240</v>
      </c>
      <c r="K38" s="25"/>
      <c r="L38" s="25"/>
      <c r="M38" s="25"/>
      <c r="N38" s="25"/>
      <c r="O38" s="25"/>
      <c r="P38" s="25"/>
      <c r="Q38" s="25"/>
      <c r="R38" s="25"/>
      <c r="S38" s="25"/>
      <c r="T38" s="25"/>
      <c r="U38" s="25"/>
      <c r="V38" s="25"/>
      <c r="W38" s="25"/>
      <c r="X38" s="25"/>
    </row>
    <row r="39" spans="1:24" x14ac:dyDescent="0.2">
      <c r="A39" s="25"/>
      <c r="B39" s="25"/>
      <c r="C39" s="25"/>
      <c r="D39" s="25"/>
      <c r="E39" s="25"/>
      <c r="F39" s="25"/>
      <c r="G39" s="25"/>
      <c r="H39" s="25"/>
      <c r="I39" s="428" t="s">
        <v>204</v>
      </c>
      <c r="J39" s="428" t="s">
        <v>241</v>
      </c>
      <c r="K39" s="25"/>
      <c r="L39" s="25"/>
      <c r="M39" s="25"/>
      <c r="N39" s="25"/>
      <c r="O39" s="25"/>
      <c r="P39" s="25"/>
      <c r="Q39" s="25"/>
      <c r="R39" s="25"/>
      <c r="S39" s="25"/>
      <c r="T39" s="25"/>
      <c r="U39" s="25"/>
      <c r="V39" s="25"/>
      <c r="W39" s="25"/>
      <c r="X39" s="25"/>
    </row>
    <row r="40" spans="1:24" x14ac:dyDescent="0.2">
      <c r="A40" s="25"/>
      <c r="B40" s="25"/>
      <c r="C40" s="25"/>
      <c r="D40" s="25"/>
      <c r="E40" s="25"/>
      <c r="F40" s="25"/>
      <c r="G40" s="25"/>
      <c r="H40" s="25" t="s">
        <v>286</v>
      </c>
      <c r="I40" s="428" t="s">
        <v>205</v>
      </c>
      <c r="J40" s="428" t="s">
        <v>242</v>
      </c>
      <c r="K40" s="25"/>
      <c r="L40" s="25"/>
      <c r="M40" s="25"/>
      <c r="N40" s="25"/>
      <c r="O40" s="25"/>
      <c r="P40" s="25"/>
      <c r="Q40" s="25"/>
      <c r="R40" s="25"/>
      <c r="S40" s="25"/>
      <c r="T40" s="25"/>
      <c r="U40" s="25"/>
      <c r="V40" s="25"/>
      <c r="W40" s="25"/>
      <c r="X40" s="25"/>
    </row>
    <row r="41" spans="1:24" x14ac:dyDescent="0.2">
      <c r="A41" s="25"/>
      <c r="B41" s="25"/>
      <c r="C41" s="25"/>
      <c r="D41" s="25"/>
      <c r="E41" s="25"/>
      <c r="F41" s="25"/>
      <c r="G41" s="25"/>
      <c r="H41" s="25"/>
      <c r="I41" s="428" t="s">
        <v>206</v>
      </c>
      <c r="J41" s="428" t="s">
        <v>243</v>
      </c>
      <c r="K41" s="25"/>
      <c r="L41" s="25"/>
      <c r="M41" s="25"/>
      <c r="N41" s="25"/>
      <c r="O41" s="25"/>
      <c r="P41" s="25"/>
      <c r="Q41" s="25"/>
      <c r="R41" s="25"/>
      <c r="S41" s="25"/>
      <c r="T41" s="25"/>
      <c r="U41" s="25"/>
      <c r="V41" s="25"/>
      <c r="W41" s="25"/>
      <c r="X41" s="25"/>
    </row>
    <row r="42" spans="1:24" x14ac:dyDescent="0.2">
      <c r="A42" s="25"/>
      <c r="B42" s="25"/>
      <c r="C42" s="25"/>
      <c r="D42" s="25"/>
      <c r="E42" s="25"/>
      <c r="F42" s="25"/>
      <c r="G42" s="25"/>
      <c r="H42" s="25"/>
      <c r="I42" s="428" t="s">
        <v>207</v>
      </c>
      <c r="J42" s="428" t="s">
        <v>244</v>
      </c>
      <c r="K42" s="25"/>
      <c r="L42" s="25"/>
      <c r="M42" s="25"/>
      <c r="N42" s="25"/>
      <c r="O42" s="25"/>
      <c r="P42" s="25"/>
      <c r="Q42" s="25"/>
      <c r="R42" s="25"/>
      <c r="S42" s="25"/>
      <c r="T42" s="25"/>
      <c r="U42" s="25"/>
      <c r="V42" s="25"/>
      <c r="W42" s="25"/>
      <c r="X42" s="25"/>
    </row>
    <row r="43" spans="1:24" x14ac:dyDescent="0.2">
      <c r="A43" s="70"/>
      <c r="B43" s="25"/>
      <c r="C43" s="25"/>
      <c r="D43" s="25"/>
      <c r="E43" s="25"/>
      <c r="F43" s="25"/>
      <c r="G43" s="25"/>
      <c r="H43" s="25" t="s">
        <v>246</v>
      </c>
      <c r="I43" s="25"/>
      <c r="J43" s="25"/>
      <c r="K43" s="25"/>
      <c r="L43" s="25"/>
      <c r="M43" s="25"/>
      <c r="N43" s="25"/>
      <c r="O43" s="25"/>
      <c r="P43" s="25"/>
      <c r="Q43" s="25"/>
      <c r="R43" s="25"/>
      <c r="S43" s="25"/>
      <c r="T43" s="25"/>
      <c r="U43" s="25"/>
      <c r="V43" s="25"/>
      <c r="W43" s="25"/>
      <c r="X43" s="25"/>
    </row>
    <row r="44" spans="1:24" x14ac:dyDescent="0.2">
      <c r="A44" s="25"/>
      <c r="B44" s="25"/>
      <c r="C44" s="25"/>
      <c r="D44" s="25"/>
      <c r="E44" s="25"/>
      <c r="F44" s="25"/>
      <c r="G44" s="25"/>
      <c r="H44" s="25"/>
      <c r="I44" s="428" t="s">
        <v>247</v>
      </c>
      <c r="J44" s="428" t="s">
        <v>248</v>
      </c>
      <c r="K44" s="25"/>
      <c r="L44" s="25"/>
      <c r="M44" s="25"/>
      <c r="N44" s="25"/>
      <c r="O44" s="25"/>
      <c r="P44" s="25"/>
      <c r="Q44" s="25"/>
      <c r="R44" s="25"/>
      <c r="S44" s="25"/>
      <c r="T44" s="25"/>
      <c r="U44" s="25"/>
      <c r="V44" s="25"/>
      <c r="W44" s="25"/>
      <c r="X44" s="25"/>
    </row>
    <row r="45" spans="1:24" x14ac:dyDescent="0.2">
      <c r="A45" s="25"/>
      <c r="B45" s="25"/>
      <c r="C45" s="25"/>
      <c r="D45" s="25"/>
      <c r="E45" s="25"/>
      <c r="F45" s="25"/>
      <c r="G45" s="25"/>
      <c r="H45" s="25"/>
      <c r="I45" s="428" t="s">
        <v>250</v>
      </c>
      <c r="J45" s="428" t="s">
        <v>249</v>
      </c>
      <c r="K45" s="25"/>
      <c r="L45" s="25"/>
      <c r="M45" s="25"/>
      <c r="N45" s="25"/>
      <c r="O45" s="25"/>
      <c r="P45" s="25"/>
      <c r="Q45" s="25"/>
      <c r="R45" s="25"/>
      <c r="S45" s="25"/>
      <c r="T45" s="25"/>
      <c r="U45" s="25"/>
      <c r="V45" s="25"/>
      <c r="W45" s="25"/>
      <c r="X45" s="25"/>
    </row>
    <row r="46" spans="1:24" x14ac:dyDescent="0.2">
      <c r="A46" s="25"/>
      <c r="B46" s="25"/>
      <c r="C46" s="25"/>
      <c r="D46" s="25"/>
      <c r="E46" s="25"/>
      <c r="F46" s="25"/>
      <c r="G46" s="25"/>
      <c r="H46" s="25"/>
      <c r="I46" s="428" t="s">
        <v>1024</v>
      </c>
      <c r="J46" s="428" t="s">
        <v>1024</v>
      </c>
      <c r="K46" s="25"/>
      <c r="L46" s="25"/>
      <c r="M46" s="25"/>
      <c r="N46" s="25"/>
      <c r="O46" s="25"/>
      <c r="P46" s="25"/>
      <c r="Q46" s="25"/>
      <c r="R46" s="25"/>
      <c r="S46" s="25"/>
      <c r="T46" s="25"/>
      <c r="U46" s="25"/>
      <c r="V46" s="25"/>
      <c r="W46" s="25"/>
      <c r="X46" s="25"/>
    </row>
    <row r="47" spans="1:24" x14ac:dyDescent="0.2">
      <c r="A47" s="25"/>
      <c r="B47" s="25"/>
      <c r="C47" s="25"/>
      <c r="D47" s="25"/>
      <c r="E47" s="25"/>
      <c r="F47" s="25"/>
      <c r="G47" s="25"/>
      <c r="H47" s="25"/>
      <c r="I47" s="25"/>
      <c r="J47" s="25"/>
      <c r="K47" s="25"/>
      <c r="L47" s="25"/>
      <c r="M47" s="25"/>
    </row>
    <row r="48" spans="1:24" x14ac:dyDescent="0.2">
      <c r="A48" s="25"/>
      <c r="B48" s="25"/>
      <c r="C48" s="25"/>
      <c r="D48" s="25"/>
      <c r="E48" s="25"/>
      <c r="F48" s="25"/>
      <c r="G48" s="25"/>
      <c r="H48" s="25"/>
      <c r="I48" s="25"/>
      <c r="J48" s="25"/>
      <c r="K48" s="25"/>
      <c r="L48" s="25"/>
      <c r="M48" s="25"/>
    </row>
    <row r="49" spans="1:13" x14ac:dyDescent="0.2">
      <c r="A49" s="25"/>
      <c r="B49" s="25"/>
      <c r="C49" s="25"/>
      <c r="D49" s="25"/>
      <c r="E49" s="25"/>
      <c r="F49" s="25"/>
      <c r="G49" s="25"/>
      <c r="H49" s="25"/>
      <c r="I49" s="25"/>
      <c r="J49" s="25"/>
      <c r="K49" s="25"/>
      <c r="L49" s="25"/>
      <c r="M49" s="25"/>
    </row>
    <row r="50" spans="1:13" x14ac:dyDescent="0.2">
      <c r="A50" s="25"/>
      <c r="B50" s="25"/>
      <c r="C50" s="25"/>
      <c r="D50" s="25"/>
      <c r="E50" s="25"/>
      <c r="F50" s="25"/>
      <c r="G50" s="25"/>
      <c r="H50" s="25"/>
      <c r="I50" s="25"/>
      <c r="J50" s="25"/>
      <c r="K50" s="25"/>
      <c r="L50" s="25"/>
      <c r="M50" s="25"/>
    </row>
    <row r="51" spans="1:13" x14ac:dyDescent="0.2">
      <c r="A51" s="25"/>
      <c r="B51" s="25"/>
      <c r="C51" s="25"/>
      <c r="D51" s="25"/>
      <c r="E51" s="25"/>
      <c r="F51" s="25"/>
      <c r="G51" s="25"/>
      <c r="H51" s="25"/>
      <c r="I51" s="25"/>
      <c r="J51" s="25"/>
      <c r="K51" s="25"/>
      <c r="L51" s="25"/>
      <c r="M51" s="25"/>
    </row>
    <row r="52" spans="1:13" x14ac:dyDescent="0.2">
      <c r="D52" s="25"/>
      <c r="E52" s="25"/>
      <c r="F52" s="25"/>
      <c r="G52" s="25"/>
      <c r="H52" s="25"/>
      <c r="I52" s="25"/>
      <c r="J52" s="25"/>
      <c r="K52" s="25"/>
      <c r="L52" s="25"/>
      <c r="M52" s="25"/>
    </row>
  </sheetData>
  <sheetProtection password="D809" sheet="1" objects="1" scenarios="1"/>
  <mergeCells count="5">
    <mergeCell ref="B26:C26"/>
    <mergeCell ref="A14:C14"/>
    <mergeCell ref="C1:E1"/>
    <mergeCell ref="D14:E14"/>
    <mergeCell ref="B3:D3"/>
  </mergeCells>
  <phoneticPr fontId="15" type="noConversion"/>
  <hyperlinks>
    <hyperlink ref="C4" location="Weight1" tooltip="Cubes" display="Cubes"/>
    <hyperlink ref="C5" location="Weight2" tooltip="Cylinders" display="Cylinders"/>
    <hyperlink ref="C6" location="Weight3" tooltip="Hollow Cylinders" display="Hollow Cylinders"/>
    <hyperlink ref="C7" location="Weight4" tooltip="Fustum of Pyramid" display="Fustum of Pyramid"/>
    <hyperlink ref="C8" location="Weight5" tooltip="Pyramid" display="Pyramid"/>
    <hyperlink ref="C9" location="Weight6" tooltip="Fustum of Cone" display="Fustum of Cone"/>
    <hyperlink ref="C10" location="Weight7" tooltip="Cone" display="Cone"/>
    <hyperlink ref="C11" location="Weight8" tooltip="Sphere" display="Sphere"/>
    <hyperlink ref="C12" location="Weight9" tooltip="Prism" display="Prism"/>
    <hyperlink ref="E4" location="Weight10" tooltip="Electric Motors" display="Electric Motors"/>
    <hyperlink ref="E5" location="Weight11" tooltip="Valve Bonnets" display="Valve Bonnets"/>
    <hyperlink ref="E6" location="Weight12" tooltip="Pump upper casing" display="Pump upper casing"/>
    <hyperlink ref="E7" location="Weight13" tooltip="Steel Pipes" display="Steel Pipes"/>
    <hyperlink ref="E9" location="Weight14" tooltip="Standard I-Beams" display="Standard I-Beams"/>
    <hyperlink ref="E10" location="Weight15" tooltip="Wide Flange I-Beams" display="Wide Flange I-Beams"/>
    <hyperlink ref="E11" location="Weight16" tooltip="Steel Channels" display="Steel Channels"/>
    <hyperlink ref="E12" location="Weight17" tooltip="Steel Angles" display="Steel Angles"/>
    <hyperlink ref="E13" location="Weight18" tooltip="Non-Standard I-Beams" display="Non-Standard I-Beams"/>
    <hyperlink ref="C15" location="Calc1" tooltip="Find the Opposite" display="Find the Opposite and horizontal angle"/>
    <hyperlink ref="C16" location="Calc2" tooltip="Find the Adjacent" display="Find the Adjacent and horizontal angle"/>
    <hyperlink ref="C17" location="Calc3" tooltip="Find the Hypotenuse" display="Find the Hypotenuse and horizontal angle "/>
    <hyperlink ref="C18" location="Calc4" tooltip="2-leg calculations" display="Symmetrical 2-leg calculations"/>
    <hyperlink ref="C19" location="Calc5" tooltip="Non-Symmetrical 2-leg" display="Non-Symmetrical 2-leg calculations"/>
    <hyperlink ref="C20" location="Calc6" tooltip="Tension calculations" display="Tension calculations &quot;by the book&quot;"/>
    <hyperlink ref="C21" location="Calc7" tooltip="Tight-Line calculations" display="Tight-Line calculations"/>
    <hyperlink ref="C22" location="'Drifting loads'!A1" tooltip="Drifting Loads" display="Drifting Loads (moving loads horizontally)"/>
    <hyperlink ref="C23" location="Calc9" tooltip="Choker Reduction - Single" display="Choker Reduction - Single sling"/>
    <hyperlink ref="C24" location="Calc10" tooltip="Choker Reduction - 2 leg" display="Choker Reduction - 2 leg configuration"/>
    <hyperlink ref="E15" location="Gear1" tooltip="Synthethic Web and Roundslings" display="Synthethic Web and Roundslings"/>
    <hyperlink ref="E16" location="Gear2" tooltip="Wire Rope slings" display="Wire Rope slings"/>
    <hyperlink ref="E17" location="Gear3" tooltip="Chain slings" display="Chain slings"/>
    <hyperlink ref="E18" location="Gear4" tooltip="Twin-Path® slings" display="Twin-Path® High Performance slings"/>
    <hyperlink ref="E19" location="Gear5" tooltip="Hoist Rings" display="Hoist Rings &amp; &quot;stubbies&quot;"/>
    <hyperlink ref="E20" location="Eyebolts!A1" tooltip="Eyebolts" display="Eyebolts"/>
    <hyperlink ref="E21" location="Gear7" tooltip="Standard carbon &amp; alloy shackles" display="Standard carbon &amp; alloy shackles"/>
    <hyperlink ref="E22" location="Gear8" tooltip="Web type shackles" display="Web sling shackles (Crosby® sling savers)"/>
    <hyperlink ref="E23" location="Gear9" tooltip="WideBody shackles" display="WideBody shackles (Crosby® )"/>
    <hyperlink ref="C27" location="Weights!D26" tooltip="Custom and Standard Weights" display="Custom and Standard Weights"/>
    <hyperlink ref="C28" location="Conversions!A1" tooltip="Metric Conversions" display="Conversions"/>
    <hyperlink ref="D27" location="CodeRef" tooltip="Code References" display="Code References"/>
    <hyperlink ref="D28" location="HelpMe" tooltip="Help" display="General Help"/>
  </hyperlinks>
  <printOptions horizontalCentered="1"/>
  <pageMargins left="0.75" right="0.75" top="1.75" bottom="1.75" header="0.5" footer="0.5"/>
  <pageSetup scale="90" orientation="landscape" horizontalDpi="0" verticalDpi="0" r:id="rId1"/>
  <headerFooter alignWithMargins="0">
    <oddHeader>&amp;L&amp;G&amp;R&amp;G</oddHeader>
    <oddFooter>&amp;C&amp;G</oddFooter>
  </headerFooter>
  <drawing r:id="rId2"/>
  <legacyDrawingHF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pageSetUpPr fitToPage="1"/>
  </sheetPr>
  <dimension ref="A1:X51"/>
  <sheetViews>
    <sheetView showRowColHeaders="0" workbookViewId="0">
      <selection activeCell="B17" sqref="B17"/>
    </sheetView>
  </sheetViews>
  <sheetFormatPr defaultRowHeight="12.75" x14ac:dyDescent="0.2"/>
  <cols>
    <col min="1" max="1" width="14.42578125" style="12" customWidth="1"/>
    <col min="2" max="2" width="47.85546875" style="12" customWidth="1"/>
    <col min="3" max="3" width="18.28515625" style="12" customWidth="1"/>
    <col min="4" max="4" width="18" style="12" customWidth="1"/>
    <col min="5" max="5" width="20" style="12" customWidth="1"/>
    <col min="6" max="6" width="4.140625" style="12" customWidth="1"/>
    <col min="7" max="7" width="7.28515625" style="12" customWidth="1"/>
    <col min="8" max="8" width="12.7109375" style="12" customWidth="1"/>
    <col min="9" max="9" width="6.42578125" style="12" customWidth="1"/>
    <col min="10" max="10" width="3.5703125" style="12" customWidth="1"/>
    <col min="11" max="11" width="12.7109375" style="12" customWidth="1"/>
    <col min="12" max="16384" width="9.140625" style="12"/>
  </cols>
  <sheetData>
    <row r="1" spans="1:24" x14ac:dyDescent="0.2">
      <c r="A1" s="247"/>
      <c r="B1"/>
      <c r="C1" s="966" t="s">
        <v>302</v>
      </c>
      <c r="D1" s="966"/>
      <c r="E1" s="966"/>
      <c r="F1" s="70"/>
      <c r="G1" s="70"/>
      <c r="H1" s="70"/>
      <c r="I1" s="70"/>
      <c r="J1" s="70"/>
      <c r="K1" s="70"/>
      <c r="L1" s="70"/>
      <c r="M1" s="70"/>
      <c r="N1" s="70"/>
      <c r="O1" s="70"/>
      <c r="P1" s="70"/>
      <c r="Q1" s="70"/>
      <c r="R1" s="70"/>
      <c r="S1" s="70"/>
      <c r="T1" s="70"/>
      <c r="U1" s="70"/>
      <c r="V1" s="70"/>
      <c r="W1" s="70"/>
      <c r="X1" s="70"/>
    </row>
    <row r="2" spans="1:24" x14ac:dyDescent="0.2">
      <c r="A2" s="70"/>
      <c r="B2" s="70"/>
      <c r="C2" s="70"/>
      <c r="D2" s="70"/>
      <c r="E2" s="70"/>
      <c r="F2" s="70"/>
      <c r="G2" s="70"/>
      <c r="H2" s="70"/>
      <c r="I2" s="70"/>
      <c r="J2" s="70"/>
      <c r="K2" s="70"/>
      <c r="L2" s="70"/>
      <c r="M2" s="70"/>
      <c r="N2" s="70"/>
      <c r="O2" s="70"/>
      <c r="P2" s="70"/>
      <c r="Q2" s="70"/>
      <c r="R2" s="70"/>
      <c r="S2" s="70"/>
      <c r="T2" s="70"/>
      <c r="U2" s="70"/>
      <c r="V2" s="70"/>
      <c r="W2" s="70"/>
      <c r="X2" s="70"/>
    </row>
    <row r="3" spans="1:24" x14ac:dyDescent="0.2">
      <c r="A3" s="70"/>
      <c r="B3" s="70"/>
      <c r="C3" s="70"/>
      <c r="D3" s="70"/>
      <c r="E3" s="70"/>
      <c r="F3" s="70"/>
      <c r="G3" s="70"/>
      <c r="H3" s="70"/>
      <c r="I3" s="70"/>
      <c r="J3" s="70"/>
      <c r="K3" s="70"/>
      <c r="L3" s="70"/>
      <c r="M3" s="70"/>
      <c r="N3" s="70"/>
      <c r="O3" s="70"/>
      <c r="P3" s="70"/>
      <c r="Q3" s="70"/>
      <c r="R3" s="70"/>
      <c r="S3" s="70"/>
      <c r="T3" s="70"/>
      <c r="U3" s="70"/>
      <c r="V3" s="70"/>
      <c r="W3" s="70"/>
      <c r="X3" s="70"/>
    </row>
    <row r="4" spans="1:24" x14ac:dyDescent="0.2">
      <c r="A4" s="70"/>
      <c r="B4" s="70"/>
      <c r="C4" s="70"/>
      <c r="D4" s="70"/>
      <c r="E4" s="70"/>
      <c r="F4" s="70"/>
      <c r="G4" s="70"/>
      <c r="H4" s="70"/>
      <c r="I4" s="70"/>
      <c r="J4" s="70"/>
      <c r="K4" s="70"/>
      <c r="L4" s="70"/>
      <c r="M4" s="70"/>
      <c r="N4" s="70"/>
      <c r="O4" s="70"/>
      <c r="P4" s="70"/>
      <c r="Q4" s="70"/>
      <c r="R4" s="70"/>
      <c r="S4" s="70"/>
      <c r="T4" s="70"/>
      <c r="U4" s="70"/>
      <c r="V4" s="70"/>
      <c r="W4" s="70"/>
      <c r="X4" s="70"/>
    </row>
    <row r="5" spans="1:24" x14ac:dyDescent="0.2">
      <c r="A5" s="724">
        <v>1</v>
      </c>
      <c r="B5" s="70"/>
      <c r="C5" s="70"/>
      <c r="D5" s="70"/>
      <c r="E5" s="70"/>
      <c r="F5" s="70"/>
      <c r="G5" s="70"/>
      <c r="H5" s="70"/>
      <c r="I5" s="70"/>
      <c r="J5" s="70"/>
      <c r="K5" s="70"/>
      <c r="L5" s="70"/>
      <c r="M5" s="70"/>
      <c r="N5" s="70"/>
      <c r="O5" s="70"/>
      <c r="P5" s="70"/>
      <c r="Q5" s="70"/>
      <c r="R5" s="70"/>
      <c r="S5" s="70"/>
      <c r="T5" s="70"/>
      <c r="U5" s="70"/>
      <c r="V5" s="70"/>
      <c r="W5" s="70"/>
      <c r="X5" s="70"/>
    </row>
    <row r="6" spans="1:24" x14ac:dyDescent="0.2">
      <c r="A6" s="225"/>
      <c r="B6" s="70"/>
      <c r="C6" s="70"/>
      <c r="D6" s="70"/>
      <c r="E6" s="70"/>
      <c r="F6" s="70"/>
      <c r="G6" s="70"/>
      <c r="H6" s="70"/>
      <c r="I6" s="70"/>
      <c r="J6" s="70"/>
      <c r="K6" s="70"/>
      <c r="L6" s="70"/>
      <c r="M6" s="70"/>
      <c r="N6" s="70"/>
      <c r="O6" s="70"/>
      <c r="P6" s="70"/>
      <c r="Q6" s="70"/>
      <c r="R6" s="70"/>
      <c r="S6" s="70"/>
      <c r="T6" s="70"/>
      <c r="U6" s="70"/>
      <c r="V6" s="70"/>
      <c r="W6" s="70"/>
      <c r="X6" s="70"/>
    </row>
    <row r="7" spans="1:24" x14ac:dyDescent="0.2">
      <c r="A7" s="225"/>
      <c r="B7" s="70"/>
      <c r="C7" s="70"/>
      <c r="E7" s="70"/>
      <c r="F7" s="70"/>
      <c r="G7" s="70"/>
      <c r="H7" s="70"/>
      <c r="I7" s="70"/>
      <c r="J7" s="70"/>
      <c r="K7" s="70"/>
      <c r="L7" s="70"/>
      <c r="M7" s="70"/>
      <c r="N7" s="70"/>
      <c r="O7" s="70"/>
      <c r="P7" s="70"/>
      <c r="Q7" s="70"/>
      <c r="R7" s="70"/>
      <c r="S7" s="70"/>
      <c r="T7" s="70"/>
      <c r="U7" s="70"/>
      <c r="V7" s="70"/>
      <c r="W7" s="70"/>
      <c r="X7" s="70"/>
    </row>
    <row r="8" spans="1:24" x14ac:dyDescent="0.2">
      <c r="A8" s="225"/>
      <c r="B8" s="70"/>
      <c r="C8" s="70"/>
      <c r="D8" s="70"/>
      <c r="E8" s="70"/>
      <c r="F8" s="70"/>
      <c r="G8" s="70"/>
      <c r="H8" s="70"/>
      <c r="I8" s="70"/>
      <c r="J8" s="70"/>
      <c r="K8" s="70"/>
      <c r="L8" s="70"/>
      <c r="M8" s="70"/>
      <c r="N8" s="70"/>
      <c r="O8" s="70"/>
      <c r="P8" s="70"/>
      <c r="Q8" s="70"/>
      <c r="R8" s="70"/>
      <c r="S8" s="70"/>
      <c r="T8" s="70"/>
      <c r="U8" s="70"/>
      <c r="V8" s="70"/>
      <c r="W8" s="70"/>
      <c r="X8" s="70"/>
    </row>
    <row r="9" spans="1:24" x14ac:dyDescent="0.2">
      <c r="A9" s="225"/>
      <c r="B9" s="70"/>
      <c r="C9" s="51" t="s">
        <v>1785</v>
      </c>
      <c r="D9" s="350" t="str">
        <f>IF($A$5=1,CONCATENATE(LOOKUP(A14,data_slings!K100:K117,data_slings!I100:I117)," in"),CONCATENATE(LOOKUP(A14,data_slings!K100:K117,data_slings!Q100:Q117)," cm"))</f>
        <v>8 in</v>
      </c>
      <c r="E9" s="70"/>
      <c r="F9" s="70"/>
      <c r="G9" s="70"/>
      <c r="H9" s="70"/>
      <c r="I9" s="70"/>
      <c r="J9" s="70"/>
      <c r="K9" s="70"/>
      <c r="L9" s="70"/>
      <c r="M9" s="70"/>
      <c r="N9" s="70"/>
      <c r="O9" s="70"/>
      <c r="P9" s="70"/>
      <c r="Q9" s="70"/>
      <c r="R9" s="70"/>
      <c r="S9" s="70"/>
      <c r="T9" s="70"/>
      <c r="U9" s="70"/>
      <c r="V9" s="70"/>
      <c r="W9" s="70"/>
      <c r="X9" s="70"/>
    </row>
    <row r="10" spans="1:24" ht="14.25" customHeight="1" x14ac:dyDescent="0.2">
      <c r="A10" s="225"/>
      <c r="B10" s="70"/>
      <c r="C10" s="51" t="s">
        <v>1783</v>
      </c>
      <c r="D10" s="350" t="str">
        <f>IF($A$5=1,CONCATENATE(LOOKUP(A14,data_slings!K100:K117,data_slings!H100:H117)," in"),CONCATENATE(LOOKUP(A14,data_slings!K100:K117,data_slings!P100:P117)," cm"))</f>
        <v>4 in</v>
      </c>
      <c r="E10" s="70"/>
      <c r="F10" s="70"/>
      <c r="G10" s="70"/>
      <c r="H10" s="70"/>
      <c r="I10" s="70"/>
      <c r="J10" s="70"/>
      <c r="K10" s="70"/>
      <c r="L10" s="70"/>
      <c r="M10" s="70"/>
      <c r="N10" s="70"/>
      <c r="O10" s="70"/>
      <c r="P10" s="70"/>
      <c r="Q10" s="70"/>
      <c r="R10" s="70"/>
      <c r="S10" s="70"/>
      <c r="T10" s="70"/>
      <c r="U10" s="70"/>
      <c r="V10" s="70"/>
      <c r="W10" s="70"/>
      <c r="X10" s="70"/>
    </row>
    <row r="11" spans="1:24" x14ac:dyDescent="0.2">
      <c r="A11" s="225"/>
      <c r="B11" s="70"/>
      <c r="C11" s="471" t="s">
        <v>1711</v>
      </c>
      <c r="D11" s="70"/>
      <c r="E11" s="70"/>
      <c r="F11" s="70"/>
      <c r="G11" s="70"/>
      <c r="H11" s="70"/>
      <c r="I11" s="70"/>
      <c r="J11" s="70"/>
      <c r="K11" s="70"/>
      <c r="L11" s="70"/>
      <c r="M11" s="70"/>
      <c r="N11" s="70"/>
      <c r="O11" s="70"/>
      <c r="P11" s="70"/>
      <c r="Q11" s="70"/>
      <c r="R11" s="70"/>
      <c r="S11" s="70"/>
      <c r="T11" s="70"/>
      <c r="U11" s="70"/>
      <c r="V11" s="70"/>
      <c r="W11" s="70"/>
      <c r="X11" s="70"/>
    </row>
    <row r="12" spans="1:24" ht="15.75" x14ac:dyDescent="0.25">
      <c r="A12" s="225"/>
      <c r="B12" s="243" t="s">
        <v>1025</v>
      </c>
      <c r="C12" s="470"/>
      <c r="D12" s="70"/>
      <c r="E12" s="70"/>
      <c r="F12" s="70"/>
      <c r="G12" s="70"/>
      <c r="H12" s="70"/>
      <c r="I12" s="70"/>
      <c r="J12" s="70"/>
      <c r="K12" s="70"/>
      <c r="L12" s="70"/>
      <c r="M12" s="70"/>
      <c r="N12" s="70"/>
      <c r="O12" s="70"/>
      <c r="P12" s="70"/>
      <c r="Q12" s="70"/>
      <c r="R12" s="70"/>
      <c r="S12" s="70"/>
      <c r="T12" s="70"/>
      <c r="U12" s="70"/>
      <c r="V12" s="70"/>
      <c r="W12" s="70"/>
      <c r="X12" s="70"/>
    </row>
    <row r="13" spans="1:24" ht="15" x14ac:dyDescent="0.25">
      <c r="A13" s="225"/>
      <c r="B13" s="70"/>
      <c r="C13" s="351" t="s">
        <v>2058</v>
      </c>
      <c r="D13" s="351" t="s">
        <v>2059</v>
      </c>
      <c r="E13" s="351" t="s">
        <v>2060</v>
      </c>
      <c r="F13" s="70"/>
      <c r="G13" s="70"/>
      <c r="H13" s="70"/>
      <c r="I13" s="70"/>
      <c r="J13" s="70"/>
      <c r="K13" s="70"/>
      <c r="L13" s="70"/>
      <c r="M13" s="70"/>
      <c r="N13" s="70"/>
      <c r="O13" s="70"/>
      <c r="P13" s="70"/>
      <c r="Q13" s="70"/>
      <c r="R13" s="70"/>
      <c r="S13" s="70"/>
      <c r="T13" s="70"/>
      <c r="U13" s="70"/>
      <c r="V13" s="70"/>
      <c r="W13" s="70"/>
      <c r="X13" s="70"/>
    </row>
    <row r="14" spans="1:24" ht="16.5" customHeight="1" x14ac:dyDescent="0.2">
      <c r="A14" s="723">
        <v>12</v>
      </c>
      <c r="B14" s="70"/>
      <c r="C14" s="350" t="str">
        <f>IF($A$5=1,CONCATENATE(LOOKUP(A14,data_slings!K100:K117,data_slings!E100:E117)," lbs. WLL"),CONCATENATE(LOOKUP(A14,data_slings!K100:K117,data_slings!M100:M117)," kgs. WLL"))</f>
        <v>125000 lbs. WLL</v>
      </c>
      <c r="D14" s="350" t="str">
        <f>IF($A$5=1,CONCATENATE(LOOKUP(A14,data_slings!K100:K117,data_slings!F100:F117)," lbs. WLL"),CONCATENATE(LOOKUP(A14,data_slings!K100:K117,data_slings!N100:N117)," kgs. WLL"))</f>
        <v>100000 lbs. WLL</v>
      </c>
      <c r="E14" s="350" t="str">
        <f>IF($A$5=1,CONCATENATE(LOOKUP(A14,data_slings!K100:K117,data_slings!G100:G117)," lbs. WLL"),CONCATENATE(LOOKUP(A14,data_slings!K100:K117,data_slings!O100:O117)," kgs. WLL"))</f>
        <v>250000 lbs. WLL</v>
      </c>
      <c r="G14" s="70"/>
      <c r="H14" s="70"/>
      <c r="I14" s="70"/>
      <c r="J14" s="70"/>
      <c r="K14" s="70"/>
      <c r="L14" s="70"/>
      <c r="M14" s="70"/>
      <c r="N14" s="70"/>
      <c r="O14" s="70"/>
      <c r="P14" s="70"/>
      <c r="Q14" s="70"/>
      <c r="R14" s="70"/>
      <c r="S14" s="70"/>
      <c r="T14" s="70"/>
      <c r="U14" s="70"/>
      <c r="V14" s="70"/>
      <c r="W14" s="70"/>
      <c r="X14" s="70"/>
    </row>
    <row r="15" spans="1:24" ht="12.75" customHeight="1" x14ac:dyDescent="0.2">
      <c r="A15" s="225"/>
      <c r="B15" s="70"/>
      <c r="C15" s="462" t="str">
        <f>IF($A$5=1,CONCATENATE(ROUNDDOWN((LOOKUP($A$14,data_slings!$K$100:$K$117,data_slings!$E$100:$E$117)/2000),2)," US tons"),CONCATENATE(ROUNDDOWN((LOOKUP($A$14,data_slings!$K$100:$K$117,data_slings!$M$100:$M$117)/1000),2)," Metric tons"))</f>
        <v>62.5 US tons</v>
      </c>
      <c r="D15" s="462" t="str">
        <f>IF($A$5=1,CONCATENATE(ROUNDDOWN((LOOKUP($A$14,data_slings!$K$100:$K$117,data_slings!$F$100:$F$117)/2000),2)," US tons"),CONCATENATE(ROUNDDOWN((LOOKUP($A$14,data_slings!$K$100:$K$117,data_slings!$N$100:$N$117)/1000),2)," Metric tons"))</f>
        <v>50 US tons</v>
      </c>
      <c r="E15" s="462" t="str">
        <f>IF($A$5=1,CONCATENATE(ROUNDDOWN((LOOKUP($A$14,data_slings!$K$100:$K$117,data_slings!$G$100:$G$117)/2000),2)," US tons"),CONCATENATE(ROUNDDOWN((LOOKUP($A$14,data_slings!$K$100:$K$117,data_slings!$O$100:$O$117)/1000),2)," Metric tons"))</f>
        <v>125 US tons</v>
      </c>
      <c r="F15" s="70"/>
      <c r="G15" s="70"/>
      <c r="H15" s="70"/>
      <c r="I15" s="70"/>
      <c r="J15" s="70"/>
      <c r="K15" s="70"/>
      <c r="L15" s="70"/>
      <c r="M15" s="70"/>
      <c r="N15" s="70"/>
      <c r="O15" s="70"/>
      <c r="P15" s="70"/>
      <c r="Q15" s="70"/>
      <c r="R15" s="70"/>
      <c r="S15" s="70"/>
      <c r="T15" s="70"/>
      <c r="U15" s="70"/>
      <c r="V15" s="70"/>
      <c r="W15" s="70"/>
      <c r="X15" s="70"/>
    </row>
    <row r="16" spans="1:24" x14ac:dyDescent="0.2">
      <c r="A16" s="70"/>
      <c r="B16" s="70"/>
      <c r="C16" s="70"/>
      <c r="D16" s="70"/>
      <c r="E16" s="70"/>
      <c r="F16" s="70"/>
      <c r="G16" s="70"/>
      <c r="H16" s="70"/>
      <c r="I16" s="70"/>
      <c r="J16" s="70"/>
      <c r="K16" s="70"/>
      <c r="L16" s="70"/>
      <c r="M16" s="70"/>
      <c r="N16" s="70"/>
      <c r="O16" s="70"/>
      <c r="P16" s="70"/>
      <c r="Q16" s="70"/>
      <c r="R16" s="70"/>
      <c r="S16" s="70"/>
      <c r="T16" s="70"/>
      <c r="U16" s="70"/>
      <c r="V16" s="70"/>
      <c r="W16" s="70"/>
      <c r="X16" s="70"/>
    </row>
    <row r="17" spans="1:24" x14ac:dyDescent="0.2">
      <c r="A17" s="70"/>
      <c r="B17" s="747" t="s">
        <v>1709</v>
      </c>
      <c r="C17" s="70"/>
      <c r="D17" s="70"/>
      <c r="F17" s="70"/>
      <c r="G17" s="70"/>
      <c r="H17" s="70"/>
      <c r="I17" s="70"/>
      <c r="J17" s="70"/>
      <c r="K17" s="70"/>
      <c r="L17" s="70"/>
      <c r="M17" s="70"/>
      <c r="N17" s="70"/>
      <c r="O17" s="70"/>
      <c r="P17" s="70"/>
      <c r="Q17" s="70"/>
      <c r="R17" s="70"/>
      <c r="S17" s="70"/>
      <c r="T17" s="70"/>
      <c r="U17" s="70"/>
      <c r="V17" s="70"/>
      <c r="W17" s="70"/>
      <c r="X17" s="70"/>
    </row>
    <row r="18" spans="1:24" x14ac:dyDescent="0.2">
      <c r="A18" s="70"/>
      <c r="B18" s="202" t="s">
        <v>1605</v>
      </c>
      <c r="C18" s="70"/>
      <c r="D18" s="70"/>
      <c r="E18" s="70"/>
      <c r="F18" s="70"/>
      <c r="G18" s="70"/>
      <c r="H18" s="70"/>
      <c r="I18" s="70"/>
      <c r="J18" s="70"/>
      <c r="K18" s="70"/>
      <c r="L18" s="70"/>
      <c r="M18" s="70"/>
      <c r="N18" s="70"/>
      <c r="O18" s="70"/>
      <c r="P18" s="70"/>
      <c r="Q18" s="70"/>
      <c r="R18" s="70"/>
      <c r="S18" s="70"/>
      <c r="T18" s="70"/>
      <c r="U18" s="70"/>
      <c r="V18" s="70"/>
      <c r="W18" s="70"/>
      <c r="X18" s="70"/>
    </row>
    <row r="19" spans="1:24" x14ac:dyDescent="0.2">
      <c r="A19" s="70"/>
      <c r="B19" s="70"/>
      <c r="C19" s="70"/>
      <c r="D19" s="70"/>
      <c r="E19" s="70"/>
      <c r="F19" s="70"/>
      <c r="G19" s="70"/>
      <c r="H19" s="70"/>
      <c r="I19" s="70"/>
      <c r="J19" s="70"/>
      <c r="K19" s="70"/>
      <c r="L19" s="70"/>
      <c r="M19" s="70"/>
      <c r="N19" s="70"/>
      <c r="O19" s="70"/>
      <c r="P19" s="70"/>
      <c r="Q19" s="70"/>
      <c r="R19" s="70"/>
      <c r="S19" s="70"/>
      <c r="T19" s="70"/>
      <c r="U19" s="70"/>
      <c r="V19" s="70"/>
      <c r="W19" s="70"/>
      <c r="X19" s="70"/>
    </row>
    <row r="20" spans="1:24" x14ac:dyDescent="0.2">
      <c r="A20" s="70"/>
      <c r="B20" s="70"/>
      <c r="C20" s="70"/>
      <c r="D20" s="70"/>
      <c r="E20" s="70"/>
      <c r="F20" s="70"/>
      <c r="G20" s="70"/>
      <c r="H20" s="70"/>
      <c r="I20" s="70"/>
      <c r="J20" s="70"/>
      <c r="K20" s="70"/>
      <c r="L20" s="70"/>
      <c r="M20" s="70"/>
      <c r="N20" s="70"/>
      <c r="O20" s="70"/>
      <c r="P20" s="70"/>
      <c r="Q20" s="70"/>
      <c r="R20" s="70"/>
      <c r="S20" s="70"/>
      <c r="T20" s="70"/>
      <c r="U20" s="70"/>
      <c r="V20" s="70"/>
      <c r="W20" s="70"/>
      <c r="X20" s="70"/>
    </row>
    <row r="21" spans="1:24" x14ac:dyDescent="0.2">
      <c r="A21" s="70"/>
      <c r="B21" s="70"/>
      <c r="C21" s="70"/>
      <c r="D21" s="70"/>
      <c r="E21" s="70"/>
      <c r="F21" s="70"/>
      <c r="G21" s="70"/>
      <c r="H21" s="70"/>
      <c r="I21" s="70"/>
      <c r="J21" s="70"/>
      <c r="K21" s="70"/>
      <c r="L21" s="70"/>
      <c r="M21" s="70"/>
      <c r="N21" s="70"/>
      <c r="O21" s="70"/>
      <c r="P21" s="70"/>
      <c r="Q21" s="70"/>
      <c r="R21" s="70"/>
      <c r="S21" s="70"/>
      <c r="T21" s="70"/>
      <c r="U21" s="70"/>
      <c r="V21" s="70"/>
      <c r="W21" s="70"/>
      <c r="X21" s="70"/>
    </row>
    <row r="22" spans="1:24" x14ac:dyDescent="0.2">
      <c r="A22" s="70"/>
      <c r="B22" s="70"/>
      <c r="C22" s="70"/>
      <c r="D22" s="70"/>
      <c r="E22" s="70"/>
      <c r="F22" s="70"/>
      <c r="G22" s="70"/>
      <c r="H22" s="70"/>
      <c r="I22" s="70"/>
      <c r="J22" s="70"/>
      <c r="K22" s="70"/>
      <c r="L22" s="70"/>
      <c r="M22" s="70"/>
      <c r="N22" s="70"/>
      <c r="O22" s="70"/>
      <c r="P22" s="70"/>
      <c r="Q22" s="70"/>
      <c r="R22" s="70"/>
      <c r="S22" s="70"/>
      <c r="T22" s="70"/>
      <c r="U22" s="70"/>
      <c r="V22" s="70"/>
      <c r="W22" s="70"/>
      <c r="X22" s="70"/>
    </row>
    <row r="23" spans="1:24" x14ac:dyDescent="0.2">
      <c r="A23" s="70"/>
      <c r="B23" s="70"/>
      <c r="C23" s="70"/>
      <c r="D23" s="70"/>
      <c r="E23" s="70"/>
      <c r="F23" s="70"/>
      <c r="G23" s="70"/>
      <c r="H23" s="70"/>
      <c r="I23" s="70"/>
      <c r="J23" s="70"/>
      <c r="K23" s="70"/>
      <c r="L23" s="70"/>
      <c r="M23" s="70"/>
      <c r="N23" s="70"/>
      <c r="O23" s="70"/>
      <c r="P23" s="70"/>
      <c r="Q23" s="70"/>
      <c r="R23" s="70"/>
      <c r="S23" s="70"/>
      <c r="T23" s="70"/>
      <c r="U23" s="70"/>
      <c r="V23" s="70"/>
      <c r="W23" s="70"/>
      <c r="X23" s="70"/>
    </row>
    <row r="24" spans="1:24" x14ac:dyDescent="0.2">
      <c r="A24" s="70"/>
      <c r="B24" s="70"/>
      <c r="C24" s="70"/>
      <c r="D24" s="70"/>
      <c r="E24" s="70"/>
      <c r="F24" s="70"/>
      <c r="G24" s="70"/>
      <c r="H24" s="70"/>
      <c r="I24" s="70"/>
      <c r="J24" s="70"/>
      <c r="K24" s="70"/>
      <c r="L24" s="70"/>
      <c r="M24" s="70"/>
      <c r="N24" s="70"/>
      <c r="O24" s="70"/>
      <c r="P24" s="70"/>
      <c r="Q24" s="70"/>
      <c r="R24" s="70"/>
      <c r="S24" s="70"/>
      <c r="T24" s="70"/>
      <c r="U24" s="70"/>
      <c r="V24" s="70"/>
      <c r="W24" s="70"/>
      <c r="X24" s="70"/>
    </row>
    <row r="25" spans="1:24" x14ac:dyDescent="0.2">
      <c r="A25" s="70"/>
      <c r="B25" s="70"/>
      <c r="C25" s="70"/>
      <c r="D25" s="70"/>
      <c r="E25" s="70"/>
      <c r="F25" s="70"/>
      <c r="G25" s="70"/>
      <c r="H25" s="70"/>
      <c r="I25" s="70"/>
      <c r="J25" s="70"/>
      <c r="K25" s="70"/>
      <c r="L25" s="70"/>
      <c r="M25" s="70"/>
      <c r="N25" s="70"/>
      <c r="O25" s="70"/>
      <c r="P25" s="70"/>
      <c r="Q25" s="70"/>
      <c r="R25" s="70"/>
      <c r="S25" s="70"/>
      <c r="T25" s="70"/>
      <c r="U25" s="70"/>
      <c r="V25" s="70"/>
      <c r="W25" s="70"/>
      <c r="X25" s="70"/>
    </row>
    <row r="26" spans="1:24" x14ac:dyDescent="0.2">
      <c r="A26" s="70"/>
      <c r="B26" s="70"/>
      <c r="C26" s="70"/>
      <c r="D26" s="70"/>
      <c r="E26" s="70"/>
      <c r="F26" s="70"/>
      <c r="G26" s="70"/>
      <c r="H26" s="70"/>
      <c r="I26" s="70"/>
      <c r="J26" s="70"/>
      <c r="K26" s="70"/>
      <c r="L26" s="70"/>
      <c r="M26" s="70"/>
      <c r="N26" s="70"/>
      <c r="O26" s="70"/>
      <c r="P26" s="70"/>
      <c r="Q26" s="70"/>
      <c r="R26" s="70"/>
      <c r="S26" s="70"/>
      <c r="T26" s="70"/>
      <c r="U26" s="70"/>
      <c r="V26" s="70"/>
      <c r="W26" s="70"/>
      <c r="X26" s="70"/>
    </row>
    <row r="27" spans="1:24" x14ac:dyDescent="0.2">
      <c r="A27" s="70"/>
      <c r="B27" s="70"/>
      <c r="C27" s="70"/>
      <c r="D27" s="70"/>
      <c r="E27" s="70"/>
      <c r="F27" s="70"/>
      <c r="G27" s="70"/>
      <c r="H27" s="70"/>
      <c r="I27" s="70"/>
      <c r="J27" s="70"/>
      <c r="K27" s="70"/>
      <c r="L27" s="70"/>
      <c r="M27" s="70"/>
      <c r="N27" s="70"/>
      <c r="O27" s="70"/>
      <c r="P27" s="70"/>
      <c r="Q27" s="70"/>
      <c r="R27" s="70"/>
      <c r="S27" s="70"/>
      <c r="T27" s="70"/>
      <c r="U27" s="70"/>
      <c r="V27" s="70"/>
      <c r="W27" s="70"/>
      <c r="X27" s="70"/>
    </row>
    <row r="28" spans="1:24" x14ac:dyDescent="0.2">
      <c r="A28" s="70"/>
      <c r="B28" s="707" t="str">
        <f>IF(MASTERSWITCH=1,"EVALUATION PERIOD EXPIRED!","")</f>
        <v/>
      </c>
      <c r="C28" s="70"/>
      <c r="D28" s="70"/>
      <c r="E28" s="70"/>
      <c r="F28" s="70"/>
      <c r="G28" s="70"/>
      <c r="H28" s="70"/>
      <c r="I28" s="70"/>
      <c r="J28" s="70"/>
      <c r="K28" s="70"/>
      <c r="L28" s="70"/>
      <c r="M28" s="70"/>
      <c r="N28" s="70"/>
      <c r="O28" s="70"/>
      <c r="P28" s="70"/>
      <c r="Q28" s="70"/>
      <c r="R28" s="70"/>
      <c r="S28" s="70"/>
      <c r="T28" s="70"/>
      <c r="U28" s="70"/>
      <c r="V28" s="70"/>
      <c r="W28" s="70"/>
      <c r="X28" s="70"/>
    </row>
    <row r="29" spans="1:24" x14ac:dyDescent="0.2">
      <c r="A29" s="70"/>
      <c r="B29" s="707" t="str">
        <f>IF(MASTERSWITCH=1,"PLEASE PURCHASE LICENSE TO","")</f>
        <v/>
      </c>
      <c r="C29" s="70"/>
      <c r="D29" s="70"/>
      <c r="E29" s="70"/>
      <c r="F29" s="70"/>
      <c r="G29" s="70"/>
      <c r="H29" s="70"/>
      <c r="I29" s="70"/>
      <c r="J29" s="70"/>
      <c r="K29" s="70"/>
      <c r="L29" s="70"/>
      <c r="M29" s="70"/>
      <c r="N29" s="70"/>
      <c r="O29" s="70"/>
      <c r="P29" s="70"/>
      <c r="Q29" s="70"/>
      <c r="R29" s="70"/>
      <c r="S29" s="70"/>
      <c r="T29" s="70"/>
      <c r="U29" s="70"/>
      <c r="V29" s="70"/>
      <c r="W29" s="70"/>
      <c r="X29" s="70"/>
    </row>
    <row r="30" spans="1:24" x14ac:dyDescent="0.2">
      <c r="A30" s="70"/>
      <c r="B30" s="707" t="str">
        <f>IF(MASTERSWITCH=1,"CONTINUE USING THIS PROGRAM","")</f>
        <v/>
      </c>
      <c r="C30" s="70"/>
      <c r="D30" s="70"/>
      <c r="E30" s="70"/>
      <c r="F30" s="70"/>
      <c r="G30" s="70"/>
      <c r="H30" s="70"/>
      <c r="I30" s="70"/>
      <c r="J30" s="70"/>
      <c r="K30" s="70"/>
      <c r="L30" s="70"/>
      <c r="M30" s="70"/>
      <c r="N30" s="70"/>
      <c r="O30" s="70"/>
      <c r="P30" s="70"/>
      <c r="Q30" s="70"/>
      <c r="R30" s="70"/>
      <c r="S30" s="70"/>
      <c r="T30" s="70"/>
      <c r="U30" s="70"/>
      <c r="V30" s="70"/>
      <c r="W30" s="70"/>
      <c r="X30" s="70"/>
    </row>
    <row r="31" spans="1:24" x14ac:dyDescent="0.2">
      <c r="A31" s="70"/>
      <c r="B31" s="70"/>
      <c r="C31" s="70"/>
      <c r="D31" s="70"/>
      <c r="E31" s="70"/>
      <c r="F31" s="70"/>
      <c r="G31" s="70"/>
      <c r="H31" s="70"/>
      <c r="I31" s="70"/>
      <c r="J31" s="70"/>
      <c r="K31" s="70"/>
      <c r="L31" s="70"/>
      <c r="M31" s="70"/>
      <c r="N31" s="70"/>
      <c r="O31" s="70"/>
      <c r="P31" s="70"/>
      <c r="Q31" s="70"/>
      <c r="R31" s="70"/>
      <c r="S31" s="70"/>
      <c r="T31" s="70"/>
      <c r="U31" s="70"/>
      <c r="V31" s="70"/>
      <c r="W31" s="70"/>
      <c r="X31" s="70"/>
    </row>
    <row r="32" spans="1:24" x14ac:dyDescent="0.2">
      <c r="A32" s="70"/>
      <c r="B32" s="70"/>
      <c r="C32" s="70"/>
      <c r="D32" s="70"/>
      <c r="E32" s="70"/>
      <c r="F32" s="70"/>
      <c r="G32" s="70"/>
      <c r="H32" s="70"/>
      <c r="I32" s="70"/>
      <c r="J32" s="70"/>
      <c r="K32" s="70"/>
      <c r="L32" s="70"/>
      <c r="M32" s="70"/>
      <c r="N32" s="70"/>
      <c r="O32" s="70"/>
      <c r="P32" s="70"/>
      <c r="Q32" s="70"/>
      <c r="R32" s="70"/>
      <c r="S32" s="70"/>
      <c r="T32" s="70"/>
      <c r="U32" s="70"/>
      <c r="V32" s="70"/>
      <c r="W32" s="70"/>
      <c r="X32" s="70"/>
    </row>
    <row r="33" spans="1:24" x14ac:dyDescent="0.2">
      <c r="A33" s="70"/>
      <c r="B33" s="70"/>
      <c r="C33" s="70"/>
      <c r="D33" s="70"/>
      <c r="E33" s="70"/>
      <c r="F33" s="70"/>
      <c r="G33" s="70"/>
      <c r="H33" s="70"/>
      <c r="I33" s="70"/>
      <c r="J33" s="70"/>
      <c r="K33" s="70"/>
      <c r="L33" s="70"/>
      <c r="M33" s="70"/>
      <c r="N33" s="70"/>
      <c r="O33" s="70"/>
      <c r="P33" s="70"/>
      <c r="Q33" s="70"/>
      <c r="R33" s="70"/>
      <c r="S33" s="70"/>
      <c r="T33" s="70"/>
      <c r="U33" s="70"/>
      <c r="V33" s="70"/>
      <c r="W33" s="70"/>
      <c r="X33" s="70"/>
    </row>
    <row r="34" spans="1:24" x14ac:dyDescent="0.2">
      <c r="A34" s="70"/>
      <c r="B34" s="70"/>
      <c r="C34" s="70"/>
      <c r="D34" s="70"/>
      <c r="E34" s="70"/>
      <c r="F34" s="70"/>
      <c r="G34" s="70"/>
      <c r="H34" s="70"/>
      <c r="I34" s="70"/>
      <c r="J34" s="70"/>
      <c r="K34" s="70"/>
      <c r="L34" s="70"/>
      <c r="M34" s="70"/>
      <c r="N34" s="70"/>
      <c r="O34" s="70"/>
      <c r="P34" s="70"/>
      <c r="Q34" s="70"/>
      <c r="R34" s="70"/>
      <c r="S34" s="70"/>
      <c r="T34" s="70"/>
      <c r="U34" s="70"/>
      <c r="V34" s="70"/>
      <c r="W34" s="70"/>
      <c r="X34" s="70"/>
    </row>
    <row r="35" spans="1:24" x14ac:dyDescent="0.2">
      <c r="A35" s="70"/>
      <c r="B35" s="70"/>
      <c r="C35" s="70"/>
      <c r="D35" s="70"/>
      <c r="E35" s="70"/>
      <c r="F35" s="70"/>
      <c r="G35" s="70"/>
      <c r="H35" s="70"/>
      <c r="I35" s="70"/>
      <c r="J35" s="70"/>
      <c r="K35" s="70"/>
      <c r="L35" s="70"/>
      <c r="M35" s="70"/>
      <c r="N35" s="70"/>
      <c r="O35" s="70"/>
      <c r="P35" s="70"/>
      <c r="Q35" s="70"/>
      <c r="R35" s="70"/>
      <c r="S35" s="70"/>
      <c r="T35" s="70"/>
      <c r="U35" s="70"/>
      <c r="V35" s="70"/>
      <c r="W35" s="70"/>
      <c r="X35" s="70"/>
    </row>
    <row r="36" spans="1:24" x14ac:dyDescent="0.2">
      <c r="A36" s="70"/>
      <c r="B36" s="70"/>
      <c r="C36" s="70"/>
      <c r="D36" s="70"/>
      <c r="E36" s="70"/>
      <c r="F36" s="70"/>
      <c r="G36" s="70"/>
      <c r="H36" s="70"/>
      <c r="I36" s="70"/>
      <c r="J36" s="70"/>
      <c r="K36" s="70"/>
      <c r="L36" s="70"/>
      <c r="M36" s="70"/>
      <c r="N36" s="70"/>
      <c r="O36" s="70"/>
      <c r="P36" s="70"/>
      <c r="Q36" s="70"/>
      <c r="R36" s="70"/>
      <c r="S36" s="70"/>
      <c r="T36" s="70"/>
      <c r="U36" s="70"/>
      <c r="V36" s="70"/>
      <c r="W36" s="70"/>
      <c r="X36" s="70"/>
    </row>
    <row r="37" spans="1:24" x14ac:dyDescent="0.2">
      <c r="A37" s="70"/>
      <c r="B37" s="70"/>
      <c r="C37" s="70"/>
      <c r="D37" s="70"/>
      <c r="E37" s="70"/>
      <c r="F37" s="70"/>
      <c r="G37" s="70"/>
      <c r="H37" s="70"/>
      <c r="I37" s="70"/>
      <c r="J37" s="70"/>
      <c r="K37" s="70"/>
      <c r="L37" s="70"/>
      <c r="M37" s="70"/>
      <c r="N37" s="70"/>
      <c r="O37" s="70"/>
      <c r="P37" s="70"/>
      <c r="Q37" s="70"/>
      <c r="R37" s="70"/>
      <c r="S37" s="70"/>
      <c r="T37" s="70"/>
      <c r="U37" s="70"/>
      <c r="V37" s="70"/>
      <c r="W37" s="70"/>
      <c r="X37" s="70"/>
    </row>
    <row r="38" spans="1:24" x14ac:dyDescent="0.2">
      <c r="A38" s="70"/>
      <c r="B38" s="70"/>
      <c r="C38" s="70"/>
      <c r="D38" s="70"/>
      <c r="E38" s="70"/>
      <c r="F38" s="70"/>
      <c r="G38" s="70"/>
      <c r="H38" s="70"/>
      <c r="I38" s="70"/>
      <c r="J38" s="70"/>
      <c r="K38" s="70"/>
      <c r="L38" s="70"/>
      <c r="M38" s="70"/>
      <c r="N38" s="70"/>
      <c r="O38" s="70"/>
      <c r="P38" s="70"/>
      <c r="Q38" s="70"/>
      <c r="R38" s="70"/>
      <c r="S38" s="70"/>
      <c r="T38" s="70"/>
      <c r="U38" s="70"/>
      <c r="V38" s="70"/>
      <c r="W38" s="70"/>
      <c r="X38" s="70"/>
    </row>
    <row r="39" spans="1:24" x14ac:dyDescent="0.2">
      <c r="A39" s="70"/>
      <c r="B39" s="70"/>
      <c r="C39" s="70"/>
      <c r="D39" s="70"/>
      <c r="E39" s="70"/>
      <c r="F39" s="70"/>
      <c r="G39" s="70"/>
      <c r="H39" s="70"/>
      <c r="I39" s="70"/>
      <c r="J39" s="70"/>
      <c r="K39" s="70"/>
      <c r="L39" s="70"/>
      <c r="M39" s="70"/>
      <c r="N39" s="70"/>
      <c r="O39" s="70"/>
      <c r="P39" s="70"/>
      <c r="Q39" s="70"/>
      <c r="R39" s="70"/>
      <c r="S39" s="70"/>
      <c r="T39" s="70"/>
      <c r="U39" s="70"/>
      <c r="V39" s="70"/>
      <c r="W39" s="70"/>
      <c r="X39" s="70"/>
    </row>
    <row r="40" spans="1:24" x14ac:dyDescent="0.2">
      <c r="A40" s="70"/>
      <c r="B40" s="70"/>
      <c r="C40" s="70"/>
      <c r="D40" s="70"/>
      <c r="E40" s="70"/>
      <c r="F40" s="70"/>
      <c r="G40" s="70"/>
      <c r="H40" s="70"/>
      <c r="I40" s="70"/>
      <c r="J40" s="70"/>
      <c r="K40" s="70"/>
      <c r="L40" s="70"/>
      <c r="M40" s="70"/>
      <c r="N40" s="70"/>
      <c r="O40" s="70"/>
      <c r="P40" s="70"/>
      <c r="Q40" s="70"/>
      <c r="R40" s="70"/>
      <c r="S40" s="70"/>
      <c r="T40" s="70"/>
      <c r="U40" s="70"/>
      <c r="V40" s="70"/>
      <c r="W40" s="70"/>
      <c r="X40" s="70"/>
    </row>
    <row r="41" spans="1:24" x14ac:dyDescent="0.2">
      <c r="A41" s="70"/>
      <c r="B41" s="70"/>
      <c r="C41" s="70"/>
      <c r="D41" s="70"/>
      <c r="E41" s="70"/>
      <c r="F41" s="70"/>
      <c r="G41" s="70"/>
      <c r="H41" s="70"/>
      <c r="I41" s="70"/>
      <c r="J41" s="70"/>
      <c r="K41" s="70"/>
      <c r="L41" s="70"/>
      <c r="M41" s="70"/>
      <c r="N41" s="70"/>
      <c r="O41" s="70"/>
      <c r="P41" s="70"/>
      <c r="Q41" s="70"/>
      <c r="R41" s="70"/>
      <c r="S41" s="70"/>
      <c r="T41" s="70"/>
      <c r="U41" s="70"/>
      <c r="V41" s="70"/>
      <c r="W41" s="70"/>
      <c r="X41" s="70"/>
    </row>
    <row r="42" spans="1:24" x14ac:dyDescent="0.2">
      <c r="A42" s="70"/>
      <c r="B42" s="70"/>
      <c r="C42" s="70"/>
      <c r="D42" s="70"/>
      <c r="E42" s="70"/>
      <c r="F42" s="70"/>
      <c r="G42" s="70"/>
      <c r="H42" s="70"/>
      <c r="I42" s="70"/>
      <c r="J42" s="70"/>
      <c r="K42" s="70"/>
      <c r="L42" s="70"/>
      <c r="M42" s="70"/>
      <c r="N42" s="70"/>
      <c r="O42" s="70"/>
      <c r="P42" s="70"/>
      <c r="Q42" s="70"/>
      <c r="R42" s="70"/>
      <c r="S42" s="70"/>
      <c r="T42" s="70"/>
      <c r="U42" s="70"/>
      <c r="V42" s="70"/>
      <c r="W42" s="70"/>
      <c r="X42" s="70"/>
    </row>
    <row r="43" spans="1:24" x14ac:dyDescent="0.2">
      <c r="A43" s="70"/>
      <c r="B43" s="70"/>
      <c r="C43" s="70"/>
      <c r="D43" s="70"/>
      <c r="E43" s="70"/>
      <c r="F43" s="70"/>
      <c r="G43" s="70"/>
      <c r="H43" s="70"/>
      <c r="I43" s="70"/>
      <c r="J43" s="70"/>
      <c r="K43" s="70"/>
      <c r="L43" s="70"/>
      <c r="M43" s="70"/>
      <c r="N43" s="70"/>
      <c r="O43" s="70"/>
      <c r="P43" s="70"/>
      <c r="Q43" s="70"/>
      <c r="R43" s="70"/>
      <c r="S43" s="70"/>
      <c r="T43" s="70"/>
      <c r="U43" s="70"/>
      <c r="V43" s="70"/>
      <c r="W43" s="70"/>
      <c r="X43" s="70"/>
    </row>
    <row r="44" spans="1:24" x14ac:dyDescent="0.2">
      <c r="A44" s="70"/>
      <c r="B44" s="70"/>
      <c r="C44" s="70"/>
      <c r="D44" s="70"/>
      <c r="E44" s="70"/>
      <c r="F44" s="70"/>
      <c r="G44" s="70"/>
      <c r="H44" s="70"/>
      <c r="I44" s="70"/>
      <c r="J44" s="70"/>
      <c r="K44" s="70"/>
      <c r="L44" s="70"/>
      <c r="M44" s="70"/>
      <c r="N44" s="70"/>
      <c r="O44" s="70"/>
      <c r="P44" s="70"/>
      <c r="Q44" s="70"/>
      <c r="R44" s="70"/>
      <c r="S44" s="70"/>
      <c r="T44" s="70"/>
      <c r="U44" s="70"/>
      <c r="V44" s="70"/>
      <c r="W44" s="70"/>
      <c r="X44" s="70"/>
    </row>
    <row r="45" spans="1:24" x14ac:dyDescent="0.2">
      <c r="A45" s="70"/>
      <c r="B45" s="70"/>
      <c r="C45" s="70"/>
      <c r="D45" s="70"/>
      <c r="E45" s="70"/>
      <c r="F45" s="70"/>
      <c r="G45" s="70"/>
      <c r="H45" s="70"/>
      <c r="I45" s="70"/>
      <c r="J45" s="70"/>
      <c r="K45" s="70"/>
      <c r="L45" s="70"/>
      <c r="M45" s="70"/>
      <c r="N45" s="70"/>
      <c r="O45" s="70"/>
      <c r="P45" s="70"/>
      <c r="Q45" s="70"/>
      <c r="R45" s="70"/>
      <c r="S45" s="70"/>
      <c r="T45" s="70"/>
      <c r="U45" s="70"/>
      <c r="V45" s="70"/>
      <c r="W45" s="70"/>
      <c r="X45" s="70"/>
    </row>
    <row r="46" spans="1:24" x14ac:dyDescent="0.2">
      <c r="A46" s="70"/>
      <c r="B46" s="70"/>
      <c r="C46" s="70"/>
      <c r="D46" s="70"/>
      <c r="E46" s="70"/>
      <c r="F46" s="70"/>
      <c r="G46" s="70"/>
      <c r="H46" s="70"/>
      <c r="I46" s="70"/>
      <c r="J46" s="70"/>
      <c r="K46" s="70"/>
      <c r="L46" s="70"/>
      <c r="M46" s="70"/>
      <c r="N46" s="70"/>
      <c r="O46" s="70"/>
      <c r="P46" s="70"/>
      <c r="Q46" s="70"/>
      <c r="R46" s="70"/>
      <c r="S46" s="70"/>
      <c r="T46" s="70"/>
      <c r="U46" s="70"/>
      <c r="V46" s="70"/>
      <c r="W46" s="70"/>
      <c r="X46" s="70"/>
    </row>
    <row r="47" spans="1:24" x14ac:dyDescent="0.2">
      <c r="A47" s="70"/>
      <c r="B47" s="70"/>
      <c r="C47" s="70"/>
      <c r="D47" s="70"/>
      <c r="E47" s="70"/>
      <c r="F47" s="70"/>
      <c r="G47" s="70"/>
      <c r="H47" s="70"/>
      <c r="I47" s="70"/>
      <c r="J47" s="70"/>
      <c r="K47" s="70"/>
      <c r="L47" s="70"/>
      <c r="M47" s="70"/>
      <c r="N47" s="70"/>
      <c r="O47" s="70"/>
      <c r="P47" s="70"/>
      <c r="Q47" s="70"/>
      <c r="R47" s="70"/>
      <c r="S47" s="70"/>
      <c r="T47" s="70"/>
      <c r="U47" s="70"/>
      <c r="V47" s="70"/>
      <c r="W47" s="70"/>
      <c r="X47" s="70"/>
    </row>
    <row r="48" spans="1:24" x14ac:dyDescent="0.2">
      <c r="A48" s="70"/>
      <c r="B48" s="70"/>
      <c r="C48" s="70"/>
      <c r="D48" s="70"/>
      <c r="E48" s="70"/>
      <c r="F48" s="70"/>
      <c r="G48" s="70"/>
      <c r="H48" s="70"/>
      <c r="I48" s="70"/>
      <c r="J48" s="70"/>
      <c r="K48" s="70"/>
      <c r="L48" s="70"/>
      <c r="M48" s="70"/>
      <c r="N48" s="70"/>
      <c r="O48" s="70"/>
      <c r="P48" s="70"/>
      <c r="Q48" s="70"/>
      <c r="R48" s="70"/>
      <c r="S48" s="70"/>
      <c r="T48" s="70"/>
      <c r="U48" s="70"/>
      <c r="V48" s="70"/>
      <c r="W48" s="70"/>
      <c r="X48" s="70"/>
    </row>
    <row r="49" spans="1:24" x14ac:dyDescent="0.2">
      <c r="A49" s="70"/>
      <c r="B49" s="70"/>
      <c r="C49" s="70"/>
      <c r="D49" s="70"/>
      <c r="E49" s="70"/>
      <c r="F49" s="70"/>
      <c r="G49" s="70"/>
      <c r="H49" s="70"/>
      <c r="I49" s="70"/>
      <c r="J49" s="70"/>
      <c r="K49" s="70"/>
      <c r="L49" s="70"/>
      <c r="M49" s="70"/>
      <c r="N49" s="70"/>
      <c r="O49" s="70"/>
      <c r="P49" s="70"/>
      <c r="Q49" s="70"/>
      <c r="R49" s="70"/>
      <c r="S49" s="70"/>
      <c r="T49" s="70"/>
      <c r="U49" s="70"/>
      <c r="V49" s="70"/>
      <c r="W49" s="70"/>
      <c r="X49" s="70"/>
    </row>
    <row r="50" spans="1:24" x14ac:dyDescent="0.2">
      <c r="A50" s="70"/>
      <c r="B50" s="70"/>
      <c r="C50" s="70"/>
      <c r="D50" s="70"/>
      <c r="E50" s="70"/>
      <c r="F50" s="70"/>
      <c r="G50" s="70"/>
      <c r="H50" s="70"/>
      <c r="I50" s="70"/>
      <c r="J50" s="70"/>
      <c r="K50" s="70"/>
      <c r="L50" s="70"/>
      <c r="M50" s="70"/>
      <c r="N50" s="70"/>
      <c r="O50" s="70"/>
      <c r="P50" s="70"/>
      <c r="Q50" s="70"/>
      <c r="R50" s="70"/>
      <c r="S50" s="70"/>
      <c r="T50" s="70"/>
      <c r="U50" s="70"/>
      <c r="V50" s="70"/>
      <c r="W50" s="70"/>
      <c r="X50" s="70"/>
    </row>
    <row r="51" spans="1:24" x14ac:dyDescent="0.2">
      <c r="A51" s="70"/>
      <c r="B51" s="70"/>
      <c r="C51" s="70"/>
      <c r="D51" s="70"/>
      <c r="E51" s="70"/>
      <c r="F51" s="70"/>
      <c r="G51" s="70"/>
      <c r="H51" s="70"/>
      <c r="I51" s="70"/>
      <c r="J51" s="70"/>
      <c r="K51" s="70"/>
      <c r="L51" s="70"/>
      <c r="M51" s="70"/>
      <c r="N51" s="70"/>
      <c r="O51" s="70"/>
      <c r="P51" s="70"/>
      <c r="Q51" s="70"/>
      <c r="R51" s="70"/>
      <c r="S51" s="70"/>
      <c r="T51" s="70"/>
      <c r="U51" s="70"/>
      <c r="V51" s="70"/>
      <c r="W51" s="70"/>
      <c r="X51" s="70"/>
    </row>
  </sheetData>
  <sheetProtection password="D809" sheet="1" objects="1" scenarios="1" selectLockedCells="1"/>
  <mergeCells count="1">
    <mergeCell ref="C1:E1"/>
  </mergeCells>
  <phoneticPr fontId="15" type="noConversion"/>
  <conditionalFormatting sqref="D9:D10">
    <cfRule type="expression" dxfId="27" priority="1" stopIfTrue="1">
      <formula>($A$5=2)</formula>
    </cfRule>
  </conditionalFormatting>
  <conditionalFormatting sqref="B28:B30">
    <cfRule type="expression" dxfId="26" priority="2" stopIfTrue="1">
      <formula>(MASTERSWITCH=1)</formula>
    </cfRule>
  </conditionalFormatting>
  <conditionalFormatting sqref="C14:E15">
    <cfRule type="expression" dxfId="25" priority="3" stopIfTrue="1">
      <formula>($A$5=2)</formula>
    </cfRule>
    <cfRule type="expression" dxfId="24" priority="4" stopIfTrue="1">
      <formula>(MASTERSWITCH=1)</formula>
    </cfRule>
  </conditionalFormatting>
  <hyperlinks>
    <hyperlink ref="B17" r:id="rId1" tooltip="Go to web site"/>
  </hyperlinks>
  <printOptions horizontalCentered="1"/>
  <pageMargins left="0.75" right="0.75" top="1.75" bottom="1.5" header="0.5" footer="0.5"/>
  <pageSetup scale="86" orientation="portrait" horizontalDpi="0" verticalDpi="0" r:id="rId2"/>
  <headerFooter alignWithMargins="0">
    <oddHeader>&amp;L&amp;G&amp;R&amp;G</oddHeader>
    <oddFooter>&amp;L&amp;G&amp;R&amp;D
&amp;T</oddFooter>
  </headerFooter>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57363" r:id="rId6" name="Drop Down 19">
              <controlPr locked="0" defaultSize="0" autoLine="0" autoPict="0">
                <anchor moveWithCells="1">
                  <from>
                    <xdr:col>1</xdr:col>
                    <xdr:colOff>352425</xdr:colOff>
                    <xdr:row>13</xdr:row>
                    <xdr:rowOff>0</xdr:rowOff>
                  </from>
                  <to>
                    <xdr:col>1</xdr:col>
                    <xdr:colOff>3095625</xdr:colOff>
                    <xdr:row>13</xdr:row>
                    <xdr:rowOff>200025</xdr:rowOff>
                  </to>
                </anchor>
              </controlPr>
            </control>
          </mc:Choice>
        </mc:AlternateContent>
        <mc:AlternateContent xmlns:mc="http://schemas.openxmlformats.org/markup-compatibility/2006">
          <mc:Choice Requires="x14">
            <control shapeId="57349" r:id="rId7" name="Option Button 5">
              <controlPr defaultSize="0" autoFill="0" autoLine="0" autoPict="0">
                <anchor moveWithCells="1" sizeWithCells="1">
                  <from>
                    <xdr:col>1</xdr:col>
                    <xdr:colOff>133350</xdr:colOff>
                    <xdr:row>2</xdr:row>
                    <xdr:rowOff>104775</xdr:rowOff>
                  </from>
                  <to>
                    <xdr:col>1</xdr:col>
                    <xdr:colOff>571500</xdr:colOff>
                    <xdr:row>4</xdr:row>
                    <xdr:rowOff>0</xdr:rowOff>
                  </to>
                </anchor>
              </controlPr>
            </control>
          </mc:Choice>
        </mc:AlternateContent>
        <mc:AlternateContent xmlns:mc="http://schemas.openxmlformats.org/markup-compatibility/2006">
          <mc:Choice Requires="x14">
            <control shapeId="57351" r:id="rId8" name="Option Button 7">
              <controlPr defaultSize="0" autoFill="0" autoLine="0" autoPict="0">
                <anchor moveWithCells="1" sizeWithCells="1">
                  <from>
                    <xdr:col>1</xdr:col>
                    <xdr:colOff>552450</xdr:colOff>
                    <xdr:row>2</xdr:row>
                    <xdr:rowOff>104775</xdr:rowOff>
                  </from>
                  <to>
                    <xdr:col>1</xdr:col>
                    <xdr:colOff>1095375</xdr:colOff>
                    <xdr:row>4</xdr:row>
                    <xdr:rowOff>0</xdr:rowOff>
                  </to>
                </anchor>
              </controlPr>
            </control>
          </mc:Choice>
        </mc:AlternateContent>
        <mc:AlternateContent xmlns:mc="http://schemas.openxmlformats.org/markup-compatibility/2006">
          <mc:Choice Requires="x14">
            <control shapeId="57352" r:id="rId9" name="Group Box 8">
              <controlPr defaultSize="0" autoFill="0" autoPict="0">
                <anchor moveWithCells="1" sizeWithCells="1">
                  <from>
                    <xdr:col>1</xdr:col>
                    <xdr:colOff>95250</xdr:colOff>
                    <xdr:row>2</xdr:row>
                    <xdr:rowOff>57150</xdr:rowOff>
                  </from>
                  <to>
                    <xdr:col>1</xdr:col>
                    <xdr:colOff>1171575</xdr:colOff>
                    <xdr:row>4</xdr:row>
                    <xdr:rowOff>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T49"/>
  <sheetViews>
    <sheetView showRowColHeaders="0" workbookViewId="0"/>
  </sheetViews>
  <sheetFormatPr defaultRowHeight="12.75" x14ac:dyDescent="0.2"/>
  <cols>
    <col min="1" max="1" width="12.85546875" customWidth="1"/>
    <col min="2" max="2" width="5.42578125" customWidth="1"/>
    <col min="3" max="3" width="11.42578125" customWidth="1"/>
    <col min="4" max="4" width="10.28515625" customWidth="1"/>
    <col min="6" max="6" width="14.5703125" customWidth="1"/>
    <col min="7" max="7" width="5.7109375" customWidth="1"/>
    <col min="8" max="8" width="1.42578125" customWidth="1"/>
    <col min="9" max="9" width="7.140625" customWidth="1"/>
    <col min="10" max="11" width="9.28515625" bestFit="1" customWidth="1"/>
    <col min="14" max="14" width="9.28515625" bestFit="1" customWidth="1"/>
  </cols>
  <sheetData>
    <row r="1" spans="1:20" x14ac:dyDescent="0.2">
      <c r="A1" s="23"/>
      <c r="B1" s="25"/>
      <c r="C1" s="25"/>
      <c r="D1" s="25"/>
      <c r="E1" s="25"/>
      <c r="F1" s="25"/>
      <c r="G1" s="25"/>
      <c r="H1" s="1"/>
      <c r="I1" s="25"/>
      <c r="J1" s="25"/>
      <c r="K1" s="25"/>
      <c r="L1" s="25"/>
      <c r="M1" s="25"/>
      <c r="N1" s="25"/>
      <c r="O1" s="25"/>
      <c r="P1" s="25"/>
      <c r="Q1" s="25"/>
      <c r="R1" s="25"/>
      <c r="S1" s="25"/>
      <c r="T1" s="25"/>
    </row>
    <row r="2" spans="1:20" ht="13.5" thickBot="1" x14ac:dyDescent="0.25">
      <c r="A2" s="25"/>
      <c r="B2" s="25"/>
      <c r="C2" s="25"/>
      <c r="D2" s="25"/>
      <c r="E2" s="25"/>
      <c r="F2" s="25"/>
      <c r="G2" s="25"/>
      <c r="H2" s="1"/>
      <c r="I2" s="907" t="str">
        <f>IF(MASTERSWITCH=1,"EVALUATION PERIOD EXPIRED!","")</f>
        <v/>
      </c>
      <c r="J2" s="907"/>
      <c r="K2" s="907"/>
      <c r="L2" s="25"/>
      <c r="M2" s="25"/>
      <c r="N2" s="25"/>
      <c r="O2" s="25"/>
      <c r="P2" s="25"/>
      <c r="Q2" s="25"/>
      <c r="R2" s="25"/>
      <c r="S2" s="25"/>
      <c r="T2" s="25"/>
    </row>
    <row r="3" spans="1:20" ht="15.75" thickBot="1" x14ac:dyDescent="0.3">
      <c r="A3" s="25"/>
      <c r="B3" s="25"/>
      <c r="C3" s="178">
        <f>LOOKUP(B26,data_eyebolts!B34:B56,data_eyebolts!D34:D56)</f>
        <v>15000</v>
      </c>
      <c r="D3" s="69" t="str">
        <f>IF(D26=1,"Kg","Lbs")</f>
        <v>Lbs</v>
      </c>
      <c r="E3" s="25"/>
      <c r="F3" s="25"/>
      <c r="G3" s="25"/>
      <c r="H3" s="1"/>
      <c r="I3" s="907" t="str">
        <f>IF(MASTERSWITCH=1,"PLEASE PURCHASE LICENSE TO","")</f>
        <v/>
      </c>
      <c r="J3" s="907"/>
      <c r="K3" s="907"/>
      <c r="L3" s="25"/>
      <c r="M3" s="25"/>
      <c r="N3" s="204">
        <f>LOOKUP(J26,data_eyebolts!B57:B63,data_eyebolts!D57:D63)</f>
        <v>5000</v>
      </c>
      <c r="O3" s="25" t="s">
        <v>2014</v>
      </c>
      <c r="P3" s="25"/>
      <c r="Q3" s="25"/>
      <c r="R3" s="25"/>
      <c r="S3" s="25"/>
      <c r="T3" s="25"/>
    </row>
    <row r="4" spans="1:20" x14ac:dyDescent="0.2">
      <c r="A4" s="25"/>
      <c r="B4" s="25"/>
      <c r="C4" s="25"/>
      <c r="D4" s="25"/>
      <c r="E4" s="25"/>
      <c r="F4" s="25"/>
      <c r="G4" s="25"/>
      <c r="H4" s="1"/>
      <c r="I4" s="907" t="str">
        <f>IF(MASTERSWITCH=1,"CONTINUE USING THIS PROGRAM","")</f>
        <v/>
      </c>
      <c r="J4" s="907"/>
      <c r="K4" s="907"/>
      <c r="L4" s="25"/>
      <c r="M4" s="25"/>
      <c r="N4" s="25"/>
      <c r="O4" s="25"/>
      <c r="P4" s="25"/>
      <c r="Q4" s="25"/>
      <c r="R4" s="25"/>
      <c r="S4" s="25"/>
      <c r="T4" s="25"/>
    </row>
    <row r="5" spans="1:20" ht="13.5" thickBot="1" x14ac:dyDescent="0.25">
      <c r="A5" s="25"/>
      <c r="B5" s="25"/>
      <c r="C5" s="25"/>
      <c r="D5" s="25"/>
      <c r="E5" s="25"/>
      <c r="F5" s="25"/>
      <c r="G5" s="25"/>
      <c r="H5" s="1"/>
      <c r="I5" s="25"/>
      <c r="J5" s="25"/>
      <c r="K5" s="25"/>
      <c r="L5" s="25"/>
      <c r="M5" s="25"/>
      <c r="N5" s="25"/>
      <c r="O5" s="25"/>
      <c r="P5" s="25"/>
      <c r="Q5" s="25"/>
      <c r="R5" s="25"/>
      <c r="S5" s="25"/>
      <c r="T5" s="25"/>
    </row>
    <row r="6" spans="1:20" ht="13.5" thickBot="1" x14ac:dyDescent="0.25">
      <c r="A6" s="25"/>
      <c r="B6" s="25"/>
      <c r="C6" s="25"/>
      <c r="D6" s="25"/>
      <c r="E6" s="25"/>
      <c r="F6" s="25"/>
      <c r="G6" s="25"/>
      <c r="H6" s="1"/>
      <c r="I6" s="25"/>
      <c r="J6" s="25"/>
      <c r="K6" s="196">
        <f>LOOKUP(J26,data_eyebolts!B57:B63,data_eyebolts!E57:E63)</f>
        <v>3000</v>
      </c>
      <c r="L6" s="25" t="s">
        <v>2014</v>
      </c>
      <c r="M6" s="25"/>
      <c r="N6" s="25"/>
      <c r="O6" s="25"/>
      <c r="P6" s="25"/>
      <c r="Q6" s="25"/>
      <c r="R6" s="25"/>
      <c r="S6" s="25"/>
      <c r="T6" s="25"/>
    </row>
    <row r="7" spans="1:20" x14ac:dyDescent="0.2">
      <c r="A7" s="25"/>
      <c r="B7" s="25"/>
      <c r="C7" s="25"/>
      <c r="D7" s="25"/>
      <c r="E7" s="25"/>
      <c r="F7" s="25"/>
      <c r="G7" s="25"/>
      <c r="H7" s="1"/>
      <c r="I7" s="25"/>
      <c r="J7" s="25"/>
      <c r="K7" s="25"/>
      <c r="L7" s="25"/>
      <c r="M7" s="25"/>
      <c r="N7" s="25"/>
      <c r="O7" s="25"/>
      <c r="P7" s="25"/>
      <c r="Q7" s="25"/>
      <c r="R7" s="25"/>
      <c r="S7" s="25"/>
      <c r="T7" s="25"/>
    </row>
    <row r="8" spans="1:20" x14ac:dyDescent="0.2">
      <c r="A8" s="25"/>
      <c r="B8" s="25"/>
      <c r="C8" s="25"/>
      <c r="D8" s="25"/>
      <c r="E8" s="25"/>
      <c r="F8" s="25"/>
      <c r="G8" s="25"/>
      <c r="H8" s="1"/>
      <c r="I8" s="25"/>
      <c r="J8" s="25"/>
      <c r="K8" s="25"/>
      <c r="L8" s="25"/>
      <c r="M8" s="25"/>
      <c r="N8" s="25"/>
      <c r="O8" s="25"/>
      <c r="P8" s="25"/>
      <c r="Q8" s="25"/>
      <c r="R8" s="25"/>
      <c r="S8" s="25"/>
      <c r="T8" s="25"/>
    </row>
    <row r="9" spans="1:20" x14ac:dyDescent="0.2">
      <c r="A9" s="25"/>
      <c r="B9" s="25"/>
      <c r="C9" s="25"/>
      <c r="D9" s="25"/>
      <c r="E9" s="25"/>
      <c r="F9" s="25"/>
      <c r="G9" s="25"/>
      <c r="H9" s="1"/>
      <c r="I9" s="25"/>
      <c r="J9" s="25"/>
      <c r="K9" s="25"/>
      <c r="L9" s="25"/>
      <c r="M9" s="25"/>
      <c r="N9" s="25"/>
      <c r="O9" s="25"/>
      <c r="P9" s="25"/>
      <c r="Q9" s="25"/>
      <c r="R9" s="25"/>
      <c r="S9" s="25"/>
      <c r="T9" s="25"/>
    </row>
    <row r="10" spans="1:20" ht="18" customHeight="1" x14ac:dyDescent="0.2">
      <c r="A10" s="25"/>
      <c r="B10" s="25"/>
      <c r="C10" s="25"/>
      <c r="D10" s="25"/>
      <c r="E10" s="25"/>
      <c r="F10" s="25"/>
      <c r="G10" s="25"/>
      <c r="H10" s="1"/>
      <c r="I10" s="25"/>
      <c r="J10" s="25"/>
      <c r="K10" s="25"/>
      <c r="L10" s="25"/>
      <c r="M10" s="25"/>
      <c r="N10" s="25"/>
      <c r="O10" s="25"/>
      <c r="P10" s="25"/>
      <c r="Q10" s="25"/>
      <c r="R10" s="25"/>
      <c r="S10" s="25"/>
      <c r="T10" s="25"/>
    </row>
    <row r="11" spans="1:20" x14ac:dyDescent="0.2">
      <c r="A11" s="25"/>
      <c r="B11" s="25"/>
      <c r="C11" s="25"/>
      <c r="D11" s="25"/>
      <c r="E11" s="25"/>
      <c r="F11" s="25"/>
      <c r="G11" s="25"/>
      <c r="H11" s="1"/>
      <c r="I11" s="25"/>
      <c r="J11" s="25"/>
      <c r="K11" s="25"/>
      <c r="L11" s="25"/>
      <c r="M11" s="25"/>
      <c r="N11" s="25"/>
      <c r="O11" s="25"/>
      <c r="P11" s="25"/>
      <c r="Q11" s="25"/>
      <c r="R11" s="25"/>
      <c r="S11" s="25"/>
      <c r="T11" s="25"/>
    </row>
    <row r="12" spans="1:20" ht="13.5" thickBot="1" x14ac:dyDescent="0.25">
      <c r="A12" s="25"/>
      <c r="B12" s="25"/>
      <c r="C12" s="25"/>
      <c r="D12" s="25"/>
      <c r="E12" s="25"/>
      <c r="F12" s="201"/>
      <c r="G12" s="25"/>
      <c r="H12" s="1"/>
      <c r="I12" s="25"/>
      <c r="J12" s="25"/>
      <c r="K12" s="25"/>
      <c r="L12" s="25"/>
      <c r="M12" s="25"/>
      <c r="N12" s="25"/>
      <c r="O12" s="25"/>
      <c r="P12" s="25"/>
      <c r="Q12" s="25"/>
      <c r="R12" s="25"/>
      <c r="S12" s="25"/>
      <c r="T12" s="25"/>
    </row>
    <row r="13" spans="1:20" ht="16.5" customHeight="1" thickBot="1" x14ac:dyDescent="0.3">
      <c r="A13" s="25"/>
      <c r="B13" s="25"/>
      <c r="C13" s="25"/>
      <c r="D13" s="25"/>
      <c r="E13" s="204">
        <f>LOOKUP(B26,data_eyebolts!B34:B56,data_eyebolts!L34:L56)</f>
        <v>470</v>
      </c>
      <c r="F13" s="202" t="str">
        <f>IF(D26=1,"Nm torque","Ft. Lbs.torque")</f>
        <v>Ft. Lbs.torque</v>
      </c>
      <c r="G13" s="25"/>
      <c r="H13" s="1"/>
      <c r="I13" s="25"/>
      <c r="J13" s="25"/>
      <c r="K13" s="25"/>
      <c r="L13" s="25"/>
      <c r="M13" s="25"/>
      <c r="N13" s="25"/>
      <c r="O13" s="25"/>
      <c r="P13" s="25"/>
      <c r="Q13" s="25"/>
      <c r="R13" s="25"/>
      <c r="S13" s="25"/>
      <c r="T13" s="25"/>
    </row>
    <row r="14" spans="1:20" x14ac:dyDescent="0.2">
      <c r="A14" s="25"/>
      <c r="B14" s="25"/>
      <c r="C14" s="25"/>
      <c r="D14" s="25"/>
      <c r="E14" s="25"/>
      <c r="F14" s="25"/>
      <c r="G14" s="25"/>
      <c r="H14" s="1"/>
      <c r="I14" s="25"/>
      <c r="J14" s="25"/>
      <c r="K14" s="25"/>
      <c r="L14" s="25"/>
      <c r="M14" s="25"/>
      <c r="N14" s="25"/>
      <c r="O14" s="25"/>
      <c r="P14" s="25"/>
      <c r="Q14" s="25"/>
      <c r="R14" s="25"/>
      <c r="S14" s="25"/>
      <c r="T14" s="25"/>
    </row>
    <row r="15" spans="1:20" x14ac:dyDescent="0.2">
      <c r="A15" s="25"/>
      <c r="B15" s="25"/>
      <c r="C15" s="25"/>
      <c r="D15" s="25"/>
      <c r="E15" s="25"/>
      <c r="F15" s="25"/>
      <c r="G15" s="25"/>
      <c r="H15" s="1"/>
      <c r="I15" s="25"/>
      <c r="J15" s="25"/>
      <c r="K15" s="25"/>
      <c r="L15" s="25"/>
      <c r="M15" s="25"/>
      <c r="N15" s="25"/>
      <c r="O15" s="25"/>
      <c r="P15" s="25"/>
      <c r="Q15" s="25"/>
      <c r="R15" s="25"/>
      <c r="S15" s="25"/>
      <c r="T15" s="25"/>
    </row>
    <row r="16" spans="1:20" ht="13.5" thickBot="1" x14ac:dyDescent="0.25">
      <c r="A16" s="25"/>
      <c r="B16" s="25"/>
      <c r="C16" s="25"/>
      <c r="D16" s="25"/>
      <c r="E16" s="25"/>
      <c r="F16" s="25"/>
      <c r="G16" s="25"/>
      <c r="H16" s="1"/>
      <c r="I16" s="25"/>
      <c r="J16" s="25"/>
      <c r="K16" s="25"/>
      <c r="L16" s="25"/>
      <c r="M16" s="25"/>
      <c r="N16" s="25"/>
      <c r="O16" s="25"/>
      <c r="P16" s="25"/>
      <c r="Q16" s="25"/>
      <c r="R16" s="25"/>
      <c r="S16" s="25"/>
      <c r="T16" s="25"/>
    </row>
    <row r="17" spans="1:20" ht="13.5" thickBot="1" x14ac:dyDescent="0.25">
      <c r="A17" s="25"/>
      <c r="B17" s="25"/>
      <c r="C17" s="25"/>
      <c r="D17" s="25"/>
      <c r="E17" s="25"/>
      <c r="F17" s="25"/>
      <c r="G17" s="25"/>
      <c r="H17" s="1"/>
      <c r="I17" s="25"/>
      <c r="J17" s="196">
        <f>LOOKUP(J26,data_eyebolts!B57:B63,data_eyebolts!F57:F63)</f>
        <v>1500</v>
      </c>
      <c r="K17" s="25" t="s">
        <v>2014</v>
      </c>
      <c r="L17" s="25"/>
      <c r="M17" s="25"/>
      <c r="N17" s="25"/>
      <c r="O17" s="25"/>
      <c r="P17" s="25"/>
      <c r="Q17" s="25"/>
      <c r="R17" s="25"/>
      <c r="S17" s="25"/>
      <c r="T17" s="25"/>
    </row>
    <row r="18" spans="1:20" x14ac:dyDescent="0.2">
      <c r="A18" s="25"/>
      <c r="B18" s="25"/>
      <c r="C18" s="25"/>
      <c r="D18" s="25"/>
      <c r="E18" s="25"/>
      <c r="F18" s="25"/>
      <c r="G18" s="25"/>
      <c r="H18" s="1"/>
      <c r="I18" s="25"/>
      <c r="J18" s="25"/>
      <c r="K18" s="25"/>
      <c r="L18" s="25"/>
      <c r="M18" s="25"/>
      <c r="N18" s="25"/>
      <c r="O18" s="25"/>
      <c r="P18" s="25"/>
      <c r="Q18" s="25"/>
      <c r="R18" s="25"/>
      <c r="S18" s="25"/>
      <c r="T18" s="25"/>
    </row>
    <row r="19" spans="1:20" x14ac:dyDescent="0.2">
      <c r="A19" s="25"/>
      <c r="B19" s="25"/>
      <c r="C19" s="25"/>
      <c r="D19" s="25"/>
      <c r="E19" s="25"/>
      <c r="F19" s="25"/>
      <c r="G19" s="25"/>
      <c r="H19" s="1"/>
      <c r="I19" s="25"/>
      <c r="J19" s="25"/>
      <c r="K19" s="25"/>
      <c r="L19" s="25"/>
      <c r="M19" s="25"/>
      <c r="N19" s="25"/>
      <c r="O19" s="25"/>
      <c r="P19" s="25"/>
      <c r="Q19" s="25"/>
      <c r="R19" s="25"/>
      <c r="S19" s="25"/>
      <c r="T19" s="25"/>
    </row>
    <row r="20" spans="1:20" ht="10.5" customHeight="1" x14ac:dyDescent="0.2">
      <c r="A20" s="25"/>
      <c r="B20" s="25"/>
      <c r="C20" s="25"/>
      <c r="D20" s="25"/>
      <c r="E20" s="25"/>
      <c r="F20" s="25"/>
      <c r="G20" s="25"/>
      <c r="H20" s="1"/>
      <c r="I20" s="25"/>
      <c r="J20" s="25"/>
      <c r="K20" s="25"/>
      <c r="L20" s="25"/>
      <c r="M20" s="25"/>
      <c r="N20" s="25"/>
      <c r="O20" s="25"/>
      <c r="P20" s="25"/>
      <c r="Q20" s="25"/>
      <c r="R20" s="25"/>
      <c r="S20" s="25"/>
      <c r="T20" s="25"/>
    </row>
    <row r="21" spans="1:20" ht="9" customHeight="1" thickBot="1" x14ac:dyDescent="0.25">
      <c r="A21" s="25"/>
      <c r="B21" s="25"/>
      <c r="C21" s="25"/>
      <c r="D21" s="25"/>
      <c r="E21" s="25"/>
      <c r="F21" s="25"/>
      <c r="G21" s="25"/>
      <c r="H21" s="1"/>
      <c r="I21" s="25"/>
      <c r="J21" s="25"/>
      <c r="K21" s="25"/>
      <c r="L21" s="25"/>
      <c r="M21" s="25"/>
      <c r="N21" s="25"/>
      <c r="O21" s="25"/>
      <c r="P21" s="25"/>
      <c r="Q21" s="25"/>
      <c r="R21" s="25"/>
      <c r="S21" s="25"/>
      <c r="T21" s="25"/>
    </row>
    <row r="22" spans="1:20" ht="18" customHeight="1" thickBot="1" x14ac:dyDescent="0.25">
      <c r="A22" s="25"/>
      <c r="B22" s="25"/>
      <c r="C22" s="25"/>
      <c r="D22" s="25"/>
      <c r="E22" s="970" t="str">
        <f>LOOKUP(B26,data_eyebolts!B34:B56,data_eyebolts!J34:J56)</f>
        <v xml:space="preserve">1-1/4"- 7 UNC x 4.50 </v>
      </c>
      <c r="F22" s="971"/>
      <c r="G22" s="25"/>
      <c r="H22" s="1"/>
      <c r="I22" s="25"/>
      <c r="J22" s="25"/>
      <c r="K22" s="625" t="str">
        <f>LOOKUP(J26,data_eyebolts!B57:B63,data_eyebolts!J57:J63)</f>
        <v>2" x 8 Threads Per Inch  &gt;&gt;</v>
      </c>
      <c r="L22" s="25"/>
      <c r="M22" s="25"/>
      <c r="N22" s="25"/>
      <c r="O22" s="25"/>
      <c r="P22" s="25"/>
      <c r="Q22" s="25"/>
      <c r="R22" s="25"/>
      <c r="S22" s="25"/>
      <c r="T22" s="25"/>
    </row>
    <row r="23" spans="1:20" x14ac:dyDescent="0.2">
      <c r="A23" s="25"/>
      <c r="B23" s="25"/>
      <c r="C23" s="25"/>
      <c r="D23" s="25"/>
      <c r="E23" s="25"/>
      <c r="F23" s="25"/>
      <c r="G23" s="25"/>
      <c r="H23" s="1"/>
      <c r="I23" s="25"/>
      <c r="J23" s="25"/>
      <c r="K23" s="25"/>
      <c r="L23" s="25"/>
      <c r="M23" s="25"/>
      <c r="N23" s="25"/>
      <c r="O23" s="25"/>
      <c r="P23" s="25"/>
      <c r="Q23" s="25"/>
      <c r="R23" s="25"/>
      <c r="S23" s="25"/>
      <c r="T23" s="25"/>
    </row>
    <row r="24" spans="1:20" x14ac:dyDescent="0.2">
      <c r="A24" s="969" t="str">
        <f>LOOKUP(B26,data_eyebolts!B34:B56,data_eyebolts!C34:C56)</f>
        <v>1-1/4"- 7 UNC x 4.50 -Hoist Ring (Crosby® # 1016975)</v>
      </c>
      <c r="B24" s="969"/>
      <c r="C24" s="969"/>
      <c r="D24" s="969"/>
      <c r="E24" s="969"/>
      <c r="F24" s="969"/>
      <c r="H24" s="1"/>
      <c r="I24" s="968" t="str">
        <f>LOOKUP(J26,data_eyebolts!B57:B63,data_eyebolts!C57:C63)</f>
        <v>2"     x 8 TPI Decreased Eye (stubbies) GE turbines</v>
      </c>
      <c r="J24" s="968"/>
      <c r="K24" s="968"/>
      <c r="L24" s="968"/>
      <c r="M24" s="968"/>
      <c r="N24" s="968"/>
      <c r="O24" s="25"/>
      <c r="P24" s="25"/>
      <c r="Q24" s="25"/>
      <c r="R24" s="25"/>
      <c r="S24" s="25"/>
      <c r="T24" s="25"/>
    </row>
    <row r="25" spans="1:20" x14ac:dyDescent="0.2">
      <c r="A25" s="25"/>
      <c r="B25" s="25"/>
      <c r="C25" s="25"/>
      <c r="D25" s="25"/>
      <c r="E25" s="25"/>
      <c r="F25" s="25"/>
      <c r="G25" s="25"/>
      <c r="H25" s="1"/>
      <c r="I25" s="25"/>
      <c r="J25" s="25"/>
      <c r="K25" s="25"/>
      <c r="L25" s="25"/>
      <c r="M25" s="25"/>
      <c r="N25" s="25"/>
      <c r="P25" s="25"/>
      <c r="Q25" s="25"/>
      <c r="R25" s="25"/>
      <c r="S25" s="25"/>
      <c r="T25" s="25"/>
    </row>
    <row r="26" spans="1:20" x14ac:dyDescent="0.2">
      <c r="A26" s="25"/>
      <c r="B26" s="35">
        <v>8</v>
      </c>
      <c r="C26" s="25"/>
      <c r="D26" s="25">
        <f>LOOKUP(B26,data_eyebolts!B34:B56,data_eyebolts!K34:K56)</f>
        <v>0</v>
      </c>
      <c r="E26" s="25"/>
      <c r="F26" s="73" t="str">
        <f>IF(D26=1,"METRIC","")</f>
        <v/>
      </c>
      <c r="G26" s="25"/>
      <c r="H26" s="1"/>
      <c r="I26" s="24" t="s">
        <v>426</v>
      </c>
      <c r="J26" s="35">
        <v>3</v>
      </c>
      <c r="K26" s="25"/>
      <c r="L26" s="25"/>
      <c r="M26" s="25"/>
      <c r="N26" s="25"/>
      <c r="O26" s="25"/>
      <c r="P26" s="25"/>
      <c r="Q26" s="25"/>
      <c r="R26" s="25"/>
      <c r="S26" s="25"/>
      <c r="T26" s="25"/>
    </row>
    <row r="27" spans="1:20" x14ac:dyDescent="0.2">
      <c r="A27" s="25"/>
      <c r="B27" s="25"/>
      <c r="C27" s="25"/>
      <c r="D27" s="25"/>
      <c r="E27" s="25"/>
      <c r="F27" s="25"/>
      <c r="G27" s="25"/>
      <c r="H27" s="1"/>
      <c r="I27" s="25"/>
      <c r="J27" s="25"/>
      <c r="K27" s="25"/>
      <c r="L27" s="25"/>
      <c r="M27" s="25"/>
      <c r="N27" s="25"/>
      <c r="O27" s="25"/>
      <c r="P27" s="25"/>
      <c r="Q27" s="25"/>
      <c r="R27" s="25"/>
      <c r="S27" s="25"/>
      <c r="T27" s="25"/>
    </row>
    <row r="28" spans="1:20" x14ac:dyDescent="0.2">
      <c r="A28" s="203" t="s">
        <v>427</v>
      </c>
      <c r="B28" s="972" t="str">
        <f>LOOKUP(B26,data_eyebolts!B34:B56,data_eyebolts!I34:I56)</f>
        <v>Crosby Catalog</v>
      </c>
      <c r="C28" s="972"/>
      <c r="D28" s="972"/>
      <c r="E28" s="972"/>
      <c r="F28" s="972"/>
      <c r="G28" s="25"/>
      <c r="H28" s="1"/>
      <c r="I28" s="203" t="s">
        <v>427</v>
      </c>
      <c r="J28" s="967" t="str">
        <f>LOOKUP(J26,data_eyebolts!B57:B63,data_eyebolts!I57:I63)</f>
        <v>GE Spec N63: EM1095 07/06/81</v>
      </c>
      <c r="K28" s="967"/>
      <c r="L28" s="967"/>
      <c r="M28" s="967"/>
      <c r="N28" s="967"/>
      <c r="O28" s="967"/>
      <c r="P28" s="25"/>
      <c r="Q28" s="25"/>
      <c r="R28" s="25"/>
      <c r="S28" s="25"/>
      <c r="T28" s="25"/>
    </row>
    <row r="29" spans="1:20" x14ac:dyDescent="0.2">
      <c r="A29" s="25"/>
      <c r="B29" s="25"/>
      <c r="C29" s="25"/>
      <c r="D29" s="25"/>
      <c r="E29" s="25"/>
      <c r="F29" s="25"/>
      <c r="G29" s="25"/>
      <c r="H29" s="1"/>
      <c r="I29" s="25"/>
      <c r="J29" s="25"/>
      <c r="K29" s="25"/>
      <c r="L29" s="25"/>
      <c r="M29" s="25"/>
      <c r="N29" s="25"/>
      <c r="O29" s="25"/>
      <c r="P29" s="25"/>
      <c r="Q29" s="25"/>
      <c r="R29" s="25"/>
      <c r="S29" s="25"/>
      <c r="T29" s="25"/>
    </row>
    <row r="30" spans="1:20" x14ac:dyDescent="0.2">
      <c r="A30" s="887" t="str">
        <f>IF(MASTERSWITCH=1,"EVALUATION PERIOD EXPIRED!","")</f>
        <v/>
      </c>
      <c r="B30" s="887"/>
      <c r="C30" s="887"/>
      <c r="D30" s="25"/>
      <c r="E30" s="25"/>
      <c r="F30" s="25"/>
      <c r="G30" s="25"/>
      <c r="H30" s="1"/>
      <c r="I30" s="25"/>
      <c r="J30" s="25"/>
      <c r="K30" s="25"/>
      <c r="L30" s="25"/>
      <c r="M30" s="25"/>
      <c r="N30" s="25"/>
      <c r="O30" s="25"/>
      <c r="P30" s="25"/>
      <c r="Q30" s="25"/>
      <c r="R30" s="25"/>
      <c r="S30" s="25"/>
      <c r="T30" s="25"/>
    </row>
    <row r="31" spans="1:20" x14ac:dyDescent="0.2">
      <c r="A31" s="887" t="str">
        <f>IF(MASTERSWITCH=1,"PLEASE PURCHASE LICENSE TO","")</f>
        <v/>
      </c>
      <c r="B31" s="887"/>
      <c r="C31" s="887"/>
      <c r="D31" s="25"/>
      <c r="E31" s="25"/>
      <c r="F31" s="25"/>
      <c r="G31" s="25"/>
      <c r="H31" s="1"/>
      <c r="I31" s="25"/>
      <c r="J31" s="25"/>
      <c r="K31" s="25"/>
      <c r="L31" s="25"/>
      <c r="M31" s="25"/>
      <c r="N31" s="25"/>
      <c r="P31" s="25"/>
      <c r="Q31" s="25"/>
      <c r="R31" s="25"/>
      <c r="S31" s="25"/>
      <c r="T31" s="25"/>
    </row>
    <row r="32" spans="1:20" x14ac:dyDescent="0.2">
      <c r="A32" s="887" t="str">
        <f>IF(MASTERSWITCH=1,"CONTINUE USING THIS PROGRAM","")</f>
        <v/>
      </c>
      <c r="B32" s="887"/>
      <c r="C32" s="887"/>
      <c r="D32" s="25"/>
      <c r="E32" s="25"/>
      <c r="F32" s="25"/>
      <c r="G32" s="25"/>
      <c r="H32" s="25"/>
      <c r="I32" s="25"/>
      <c r="J32" s="25"/>
      <c r="K32" s="25"/>
      <c r="L32" s="25"/>
      <c r="M32" s="25"/>
      <c r="N32" s="25"/>
      <c r="O32" s="25"/>
      <c r="P32" s="25"/>
      <c r="Q32" s="25"/>
      <c r="R32" s="25"/>
      <c r="S32" s="25"/>
      <c r="T32" s="25"/>
    </row>
    <row r="33" spans="1:20" x14ac:dyDescent="0.2">
      <c r="A33" s="25"/>
      <c r="B33" s="25"/>
      <c r="C33" s="25"/>
      <c r="D33" s="25"/>
      <c r="E33" s="25"/>
      <c r="F33" s="25"/>
      <c r="G33" s="25"/>
      <c r="H33" s="25"/>
      <c r="I33" s="25"/>
      <c r="J33" s="25"/>
      <c r="K33" s="25"/>
      <c r="L33" s="25"/>
      <c r="M33" s="25"/>
      <c r="N33" s="25"/>
      <c r="O33" s="25"/>
      <c r="P33" s="25"/>
      <c r="Q33" s="25"/>
      <c r="R33" s="25"/>
      <c r="S33" s="25"/>
      <c r="T33" s="25"/>
    </row>
    <row r="34" spans="1:20" x14ac:dyDescent="0.2">
      <c r="A34" s="25"/>
      <c r="B34" s="25"/>
      <c r="C34" s="25"/>
      <c r="D34" s="25"/>
      <c r="E34" s="25"/>
      <c r="F34" s="25"/>
      <c r="G34" s="25"/>
      <c r="H34" s="25"/>
      <c r="I34" s="25"/>
      <c r="J34" s="25"/>
      <c r="K34" s="25"/>
      <c r="L34" s="25"/>
      <c r="M34" s="25"/>
      <c r="N34" s="25"/>
      <c r="O34" s="25"/>
      <c r="P34" s="25"/>
      <c r="Q34" s="25"/>
      <c r="R34" s="25"/>
      <c r="S34" s="25"/>
      <c r="T34" s="25"/>
    </row>
    <row r="35" spans="1:20" x14ac:dyDescent="0.2">
      <c r="A35" s="25"/>
      <c r="B35" s="25"/>
      <c r="C35" s="25"/>
      <c r="D35" s="25"/>
      <c r="E35" s="25"/>
      <c r="F35" s="25"/>
      <c r="G35" s="25"/>
      <c r="H35" s="25"/>
      <c r="I35" s="25"/>
      <c r="J35" s="25"/>
      <c r="K35" s="25"/>
      <c r="L35" s="25"/>
      <c r="M35" s="25"/>
      <c r="N35" s="25"/>
      <c r="O35" s="25"/>
      <c r="P35" s="25"/>
      <c r="Q35" s="25"/>
      <c r="R35" s="25"/>
      <c r="S35" s="25"/>
      <c r="T35" s="25"/>
    </row>
    <row r="36" spans="1:20" x14ac:dyDescent="0.2">
      <c r="A36" s="25"/>
      <c r="B36" s="25"/>
      <c r="C36" s="25"/>
      <c r="D36" s="25"/>
      <c r="E36" s="25"/>
      <c r="F36" s="25"/>
      <c r="G36" s="25"/>
      <c r="H36" s="25"/>
      <c r="I36" s="25"/>
      <c r="J36" s="25"/>
      <c r="K36" s="25"/>
      <c r="L36" s="25"/>
      <c r="M36" s="25"/>
      <c r="N36" s="25"/>
      <c r="O36" s="25"/>
      <c r="P36" s="25"/>
      <c r="Q36" s="25"/>
      <c r="R36" s="25"/>
      <c r="S36" s="25"/>
      <c r="T36" s="25"/>
    </row>
    <row r="37" spans="1:20" x14ac:dyDescent="0.2">
      <c r="A37" s="25"/>
      <c r="B37" s="25"/>
      <c r="C37" s="25"/>
      <c r="D37" s="25"/>
      <c r="E37" s="25"/>
      <c r="F37" s="25"/>
      <c r="G37" s="25"/>
      <c r="H37" s="25"/>
      <c r="I37" s="25"/>
      <c r="J37" s="25"/>
      <c r="K37" s="25"/>
      <c r="L37" s="25"/>
      <c r="M37" s="25"/>
      <c r="N37" s="25"/>
      <c r="O37" s="25"/>
      <c r="P37" s="25"/>
      <c r="Q37" s="25"/>
      <c r="R37" s="25"/>
      <c r="S37" s="25"/>
      <c r="T37" s="25"/>
    </row>
    <row r="38" spans="1:20" x14ac:dyDescent="0.2">
      <c r="A38" s="25"/>
      <c r="B38" s="25"/>
      <c r="C38" s="25"/>
      <c r="D38" s="25"/>
      <c r="E38" s="25"/>
      <c r="F38" s="25"/>
      <c r="G38" s="25"/>
      <c r="H38" s="25"/>
      <c r="I38" s="25"/>
      <c r="J38" s="25"/>
      <c r="K38" s="25"/>
      <c r="L38" s="25"/>
      <c r="M38" s="25"/>
      <c r="N38" s="25"/>
      <c r="O38" s="25"/>
      <c r="P38" s="25"/>
      <c r="Q38" s="25"/>
      <c r="R38" s="25"/>
      <c r="S38" s="25"/>
      <c r="T38" s="25"/>
    </row>
    <row r="39" spans="1:20" x14ac:dyDescent="0.2">
      <c r="A39" s="25"/>
      <c r="B39" s="25"/>
      <c r="C39" s="25"/>
      <c r="D39" s="25"/>
      <c r="E39" s="25"/>
      <c r="F39" s="25"/>
      <c r="G39" s="25"/>
      <c r="H39" s="25"/>
      <c r="I39" s="25"/>
      <c r="J39" s="25"/>
      <c r="K39" s="25"/>
      <c r="L39" s="25"/>
      <c r="M39" s="25"/>
      <c r="N39" s="25"/>
      <c r="O39" s="25"/>
      <c r="P39" s="25"/>
      <c r="Q39" s="25"/>
      <c r="R39" s="25"/>
      <c r="S39" s="25"/>
      <c r="T39" s="25"/>
    </row>
    <row r="40" spans="1:20" x14ac:dyDescent="0.2">
      <c r="A40" s="25"/>
      <c r="B40" s="25"/>
      <c r="C40" s="25"/>
      <c r="D40" s="25"/>
      <c r="E40" s="25"/>
      <c r="F40" s="25"/>
      <c r="G40" s="25"/>
      <c r="H40" s="25"/>
      <c r="I40" s="25"/>
      <c r="J40" s="25"/>
      <c r="K40" s="25"/>
      <c r="L40" s="25"/>
      <c r="M40" s="25"/>
      <c r="N40" s="25"/>
      <c r="O40" s="25"/>
      <c r="P40" s="25"/>
      <c r="Q40" s="25"/>
      <c r="R40" s="25"/>
      <c r="S40" s="25"/>
      <c r="T40" s="25"/>
    </row>
    <row r="41" spans="1:20" x14ac:dyDescent="0.2">
      <c r="A41" s="25"/>
      <c r="B41" s="25"/>
      <c r="C41" s="25"/>
      <c r="D41" s="25"/>
      <c r="E41" s="25"/>
      <c r="F41" s="25"/>
      <c r="G41" s="25"/>
      <c r="H41" s="25"/>
      <c r="I41" s="25"/>
      <c r="J41" s="25"/>
      <c r="K41" s="25"/>
      <c r="L41" s="25"/>
      <c r="M41" s="25"/>
      <c r="N41" s="25"/>
      <c r="O41" s="25"/>
      <c r="P41" s="25"/>
      <c r="Q41" s="25"/>
      <c r="R41" s="25"/>
      <c r="S41" s="25"/>
      <c r="T41" s="25"/>
    </row>
    <row r="42" spans="1:20" x14ac:dyDescent="0.2">
      <c r="A42" s="25"/>
      <c r="B42" s="25"/>
      <c r="C42" s="25"/>
      <c r="D42" s="25"/>
      <c r="E42" s="25"/>
      <c r="F42" s="25"/>
      <c r="G42" s="25"/>
      <c r="H42" s="25"/>
      <c r="I42" s="25"/>
      <c r="J42" s="25"/>
      <c r="K42" s="25"/>
      <c r="L42" s="25"/>
      <c r="M42" s="25"/>
      <c r="N42" s="25"/>
      <c r="O42" s="25"/>
      <c r="P42" s="25"/>
      <c r="Q42" s="25"/>
      <c r="R42" s="25"/>
      <c r="S42" s="25"/>
      <c r="T42" s="25"/>
    </row>
    <row r="43" spans="1:20" x14ac:dyDescent="0.2">
      <c r="A43" s="25"/>
      <c r="B43" s="25"/>
      <c r="C43" s="25"/>
      <c r="D43" s="25"/>
      <c r="E43" s="25"/>
      <c r="F43" s="25"/>
      <c r="G43" s="25"/>
      <c r="H43" s="25"/>
      <c r="I43" s="25"/>
      <c r="J43" s="25"/>
      <c r="K43" s="25"/>
      <c r="L43" s="25"/>
      <c r="M43" s="25"/>
      <c r="N43" s="25"/>
      <c r="O43" s="25"/>
      <c r="P43" s="25"/>
      <c r="Q43" s="25"/>
      <c r="R43" s="25"/>
      <c r="S43" s="25"/>
      <c r="T43" s="25"/>
    </row>
    <row r="44" spans="1:20" x14ac:dyDescent="0.2">
      <c r="A44" s="25"/>
      <c r="B44" s="25"/>
      <c r="C44" s="25"/>
      <c r="D44" s="25"/>
      <c r="E44" s="25"/>
      <c r="F44" s="25"/>
      <c r="G44" s="25"/>
      <c r="H44" s="25"/>
      <c r="I44" s="25"/>
      <c r="J44" s="25"/>
      <c r="K44" s="25"/>
      <c r="L44" s="25"/>
      <c r="M44" s="25"/>
      <c r="N44" s="25"/>
      <c r="O44" s="25"/>
      <c r="P44" s="25"/>
      <c r="Q44" s="25"/>
      <c r="R44" s="25"/>
      <c r="S44" s="25"/>
      <c r="T44" s="25"/>
    </row>
    <row r="45" spans="1:20" x14ac:dyDescent="0.2">
      <c r="A45" s="25"/>
      <c r="B45" s="25"/>
      <c r="C45" s="25"/>
      <c r="D45" s="25"/>
      <c r="E45" s="25"/>
      <c r="F45" s="25"/>
      <c r="G45" s="25"/>
      <c r="H45" s="25"/>
      <c r="I45" s="25"/>
      <c r="J45" s="25"/>
      <c r="K45" s="25"/>
      <c r="L45" s="25"/>
      <c r="M45" s="25"/>
      <c r="N45" s="25"/>
      <c r="O45" s="25"/>
      <c r="P45" s="25"/>
      <c r="Q45" s="25"/>
      <c r="R45" s="25"/>
      <c r="S45" s="25"/>
      <c r="T45" s="25"/>
    </row>
    <row r="46" spans="1:20" x14ac:dyDescent="0.2">
      <c r="A46" s="25"/>
      <c r="B46" s="25"/>
      <c r="C46" s="25"/>
      <c r="D46" s="25"/>
      <c r="E46" s="25"/>
      <c r="F46" s="25"/>
      <c r="G46" s="25"/>
      <c r="H46" s="25"/>
      <c r="I46" s="25"/>
      <c r="J46" s="25"/>
      <c r="K46" s="25"/>
      <c r="L46" s="25"/>
      <c r="M46" s="25"/>
      <c r="N46" s="25"/>
      <c r="O46" s="25"/>
      <c r="P46" s="25"/>
      <c r="Q46" s="25"/>
      <c r="R46" s="25"/>
      <c r="S46" s="25"/>
      <c r="T46" s="25"/>
    </row>
    <row r="47" spans="1:20" x14ac:dyDescent="0.2">
      <c r="A47" s="25"/>
      <c r="B47" s="25"/>
      <c r="C47" s="25"/>
      <c r="D47" s="25"/>
      <c r="E47" s="25"/>
      <c r="F47" s="25"/>
      <c r="G47" s="25"/>
      <c r="H47" s="25"/>
      <c r="I47" s="25"/>
      <c r="J47" s="25"/>
      <c r="K47" s="25"/>
      <c r="L47" s="25"/>
      <c r="M47" s="25"/>
      <c r="N47" s="25"/>
      <c r="O47" s="25"/>
      <c r="P47" s="25"/>
      <c r="Q47" s="25"/>
      <c r="R47" s="25"/>
      <c r="S47" s="25"/>
      <c r="T47" s="25"/>
    </row>
    <row r="48" spans="1:20" x14ac:dyDescent="0.2">
      <c r="A48" s="25"/>
      <c r="B48" s="25"/>
      <c r="C48" s="25"/>
      <c r="D48" s="25"/>
      <c r="E48" s="25"/>
      <c r="F48" s="25"/>
      <c r="G48" s="25"/>
      <c r="H48" s="25"/>
      <c r="J48" s="25"/>
      <c r="K48" s="25"/>
      <c r="L48" s="25"/>
      <c r="M48" s="25"/>
      <c r="N48" s="25"/>
      <c r="O48" s="25"/>
      <c r="P48" s="25"/>
      <c r="Q48" s="25"/>
      <c r="R48" s="25"/>
      <c r="S48" s="25"/>
    </row>
    <row r="49" spans="16:19" x14ac:dyDescent="0.2">
      <c r="P49" s="25"/>
      <c r="Q49" s="25"/>
      <c r="R49" s="25"/>
      <c r="S49" s="25"/>
    </row>
  </sheetData>
  <sheetProtection password="D809" sheet="1" objects="1" scenarios="1" selectLockedCells="1"/>
  <mergeCells count="11">
    <mergeCell ref="A30:C30"/>
    <mergeCell ref="A31:C31"/>
    <mergeCell ref="A32:C32"/>
    <mergeCell ref="A24:F24"/>
    <mergeCell ref="E22:F22"/>
    <mergeCell ref="B28:F28"/>
    <mergeCell ref="I2:K2"/>
    <mergeCell ref="I3:K3"/>
    <mergeCell ref="I4:K4"/>
    <mergeCell ref="J28:O28"/>
    <mergeCell ref="I24:N24"/>
  </mergeCells>
  <phoneticPr fontId="15" type="noConversion"/>
  <conditionalFormatting sqref="D3">
    <cfRule type="cellIs" dxfId="23" priority="1" stopIfTrue="1" operator="equal">
      <formula>"Kg"</formula>
    </cfRule>
  </conditionalFormatting>
  <conditionalFormatting sqref="F13">
    <cfRule type="cellIs" dxfId="22" priority="2" stopIfTrue="1" operator="equal">
      <formula>"Nm torque"</formula>
    </cfRule>
  </conditionalFormatting>
  <conditionalFormatting sqref="F26">
    <cfRule type="cellIs" dxfId="21" priority="3" stopIfTrue="1" operator="equal">
      <formula>"METRIC"</formula>
    </cfRule>
  </conditionalFormatting>
  <conditionalFormatting sqref="A30:A32 I2:I4">
    <cfRule type="expression" dxfId="20" priority="4" stopIfTrue="1">
      <formula>(MASTERSWITCH=1)</formula>
    </cfRule>
  </conditionalFormatting>
  <conditionalFormatting sqref="C3 E13 E22:F22 J17 K6 N3">
    <cfRule type="expression" dxfId="19" priority="5" stopIfTrue="1">
      <formula>(MASTERSWITCH=1)</formula>
    </cfRule>
  </conditionalFormatting>
  <hyperlinks>
    <hyperlink ref="I26" location="data_eyebolts!C61" display="Custom"/>
  </hyperlinks>
  <printOptions horizontalCentered="1"/>
  <pageMargins left="0.75" right="0.75" top="1.75" bottom="1.5" header="0.5" footer="0.5"/>
  <pageSetup scale="67" orientation="portrait" horizontalDpi="0" verticalDpi="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7107" r:id="rId5" name="Drop Down 3">
              <controlPr locked="0" defaultSize="0" autoLine="0" autoPict="0">
                <anchor>
                  <from>
                    <xdr:col>1</xdr:col>
                    <xdr:colOff>19050</xdr:colOff>
                    <xdr:row>25</xdr:row>
                    <xdr:rowOff>19050</xdr:rowOff>
                  </from>
                  <to>
                    <xdr:col>5</xdr:col>
                    <xdr:colOff>0</xdr:colOff>
                    <xdr:row>26</xdr:row>
                    <xdr:rowOff>57150</xdr:rowOff>
                  </to>
                </anchor>
              </controlPr>
            </control>
          </mc:Choice>
        </mc:AlternateContent>
        <mc:AlternateContent xmlns:mc="http://schemas.openxmlformats.org/markup-compatibility/2006">
          <mc:Choice Requires="x14">
            <control shapeId="47114" r:id="rId6" name="Drop Down 10">
              <controlPr locked="0" defaultSize="0" autoLine="0" autoPict="0">
                <anchor>
                  <from>
                    <xdr:col>9</xdr:col>
                    <xdr:colOff>57150</xdr:colOff>
                    <xdr:row>24</xdr:row>
                    <xdr:rowOff>152400</xdr:rowOff>
                  </from>
                  <to>
                    <xdr:col>12</xdr:col>
                    <xdr:colOff>57150</xdr:colOff>
                    <xdr:row>26</xdr:row>
                    <xdr:rowOff>28575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pageSetUpPr fitToPage="1"/>
  </sheetPr>
  <dimension ref="A1:T48"/>
  <sheetViews>
    <sheetView showRowColHeaders="0" workbookViewId="0"/>
  </sheetViews>
  <sheetFormatPr defaultRowHeight="12.75" x14ac:dyDescent="0.2"/>
  <cols>
    <col min="1" max="1" width="17.5703125" customWidth="1"/>
    <col min="2" max="2" width="9.28515625" bestFit="1" customWidth="1"/>
    <col min="5" max="6" width="9.28515625" bestFit="1" customWidth="1"/>
    <col min="7" max="7" width="3.7109375" customWidth="1"/>
    <col min="8" max="8" width="2.42578125" customWidth="1"/>
    <col min="10" max="10" width="9.28515625" bestFit="1" customWidth="1"/>
    <col min="11" max="11" width="12.85546875" customWidth="1"/>
    <col min="12" max="12" width="12" customWidth="1"/>
    <col min="13" max="13" width="11.28515625" customWidth="1"/>
  </cols>
  <sheetData>
    <row r="1" spans="1:20" ht="13.5" thickBot="1" x14ac:dyDescent="0.25">
      <c r="A1" s="23"/>
      <c r="B1" s="25"/>
      <c r="C1" s="25"/>
      <c r="D1" s="25"/>
      <c r="E1" s="25"/>
      <c r="F1" s="25"/>
      <c r="G1" s="25"/>
      <c r="H1" s="1"/>
      <c r="I1" s="25"/>
      <c r="J1" s="25"/>
      <c r="K1" s="25"/>
      <c r="L1" s="25"/>
      <c r="M1" s="25"/>
      <c r="N1" s="25"/>
      <c r="O1" s="25"/>
      <c r="P1" s="25"/>
      <c r="Q1" s="25"/>
      <c r="R1" s="25"/>
      <c r="S1" s="25"/>
      <c r="T1" s="25"/>
    </row>
    <row r="2" spans="1:20" ht="13.5" thickBot="1" x14ac:dyDescent="0.25">
      <c r="A2" s="25"/>
      <c r="B2" s="25"/>
      <c r="C2" s="25"/>
      <c r="D2" s="25"/>
      <c r="E2" s="25"/>
      <c r="F2" s="25"/>
      <c r="G2" s="25"/>
      <c r="H2" s="1"/>
      <c r="I2" s="25"/>
      <c r="J2" s="606">
        <f>LOOKUP(J22,data_eyebolts!B15:B33,data_eyebolts!D15:D33)</f>
        <v>2600</v>
      </c>
      <c r="K2" s="73" t="str">
        <f>IF($L$22=1,"Kg","Lb")</f>
        <v>Lb</v>
      </c>
      <c r="L2" s="25"/>
      <c r="M2" s="25"/>
      <c r="N2" s="25"/>
      <c r="O2" s="25"/>
      <c r="P2" s="25"/>
      <c r="Q2" s="25"/>
      <c r="R2" s="25"/>
      <c r="S2" s="25"/>
      <c r="T2" s="25"/>
    </row>
    <row r="3" spans="1:20" ht="13.5" thickBot="1" x14ac:dyDescent="0.25">
      <c r="A3" s="25"/>
      <c r="B3" s="605">
        <f>LOOKUP(B22,data_eyebolts!B2:B13,data_eyebolts!D2:D13)</f>
        <v>1840</v>
      </c>
      <c r="C3" s="25" t="s">
        <v>2014</v>
      </c>
      <c r="D3" s="25"/>
      <c r="E3" s="607">
        <f>LOOKUP(B22,data_eyebolts!B2:B13,data_eyebolts!E2:E13)</f>
        <v>1012.0000000000001</v>
      </c>
      <c r="F3" s="25" t="s">
        <v>2014</v>
      </c>
      <c r="G3" s="25"/>
      <c r="H3" s="1"/>
      <c r="I3" s="25"/>
      <c r="J3" s="25"/>
      <c r="K3" s="25"/>
      <c r="L3" s="25"/>
      <c r="M3" s="25"/>
      <c r="N3" s="25"/>
      <c r="O3" s="25"/>
      <c r="P3" s="25"/>
      <c r="Q3" s="25"/>
      <c r="R3" s="25"/>
      <c r="S3" s="25"/>
      <c r="T3" s="25"/>
    </row>
    <row r="4" spans="1:20" ht="13.5" thickBot="1" x14ac:dyDescent="0.25">
      <c r="A4" s="25"/>
      <c r="B4" s="25"/>
      <c r="C4" s="25"/>
      <c r="D4" s="25"/>
      <c r="E4" s="25"/>
      <c r="F4" s="25"/>
      <c r="G4" s="25"/>
      <c r="H4" s="1"/>
      <c r="I4" s="25"/>
      <c r="J4" s="25"/>
      <c r="K4" s="25"/>
      <c r="L4" s="25"/>
      <c r="M4" s="25"/>
      <c r="N4" s="25"/>
      <c r="O4" s="25"/>
      <c r="P4" s="25"/>
      <c r="Q4" s="25"/>
      <c r="R4" s="25"/>
      <c r="S4" s="25"/>
      <c r="T4" s="25"/>
    </row>
    <row r="5" spans="1:20" ht="13.5" thickBot="1" x14ac:dyDescent="0.25">
      <c r="A5" s="25"/>
      <c r="B5" s="25"/>
      <c r="C5" s="25"/>
      <c r="D5" s="25"/>
      <c r="E5" s="25"/>
      <c r="F5" s="25"/>
      <c r="G5" s="25"/>
      <c r="H5" s="1"/>
      <c r="I5" s="25"/>
      <c r="J5" s="25"/>
      <c r="K5" s="25"/>
      <c r="L5" s="605">
        <f>LOOKUP(J22,data_eyebolts!B15:B33,data_eyebolts!E15:E33)</f>
        <v>1690</v>
      </c>
      <c r="M5" s="199" t="str">
        <f>IF($L$22=1,"Kg","Lb")</f>
        <v>Lb</v>
      </c>
      <c r="N5" s="25"/>
      <c r="O5" s="25"/>
      <c r="P5" s="25"/>
      <c r="Q5" s="25"/>
      <c r="R5" s="25"/>
      <c r="S5" s="25"/>
      <c r="T5" s="25"/>
    </row>
    <row r="6" spans="1:20" ht="13.5" thickBot="1" x14ac:dyDescent="0.25">
      <c r="A6" s="25"/>
      <c r="B6" s="25"/>
      <c r="C6" s="25"/>
      <c r="D6" s="25"/>
      <c r="E6" s="25"/>
      <c r="F6" s="25"/>
      <c r="G6" s="25"/>
      <c r="H6" s="1"/>
      <c r="I6" s="25"/>
      <c r="J6" s="25"/>
      <c r="K6" s="25"/>
      <c r="L6" s="25"/>
      <c r="M6" s="25"/>
      <c r="N6" s="25"/>
      <c r="O6" s="25"/>
      <c r="P6" s="25"/>
      <c r="Q6" s="25"/>
      <c r="R6" s="25"/>
      <c r="S6" s="25"/>
      <c r="T6" s="25"/>
    </row>
    <row r="7" spans="1:20" ht="13.5" thickBot="1" x14ac:dyDescent="0.25">
      <c r="A7" s="25"/>
      <c r="B7" s="25"/>
      <c r="C7" s="25"/>
      <c r="D7" s="25"/>
      <c r="E7" s="25"/>
      <c r="F7" s="25"/>
      <c r="G7" s="25"/>
      <c r="H7" s="1"/>
      <c r="I7" s="25"/>
      <c r="J7" s="25"/>
      <c r="K7" s="25"/>
      <c r="L7" s="25"/>
      <c r="M7" s="605">
        <f>LOOKUP(J22,data_eyebolts!B15:B33,data_eyebolts!F15:F33)</f>
        <v>780</v>
      </c>
      <c r="N7" s="199" t="str">
        <f>IF($L$22=1,"Kg","Lb")</f>
        <v>Lb</v>
      </c>
      <c r="O7" s="25"/>
      <c r="P7" s="25"/>
      <c r="Q7" s="25"/>
      <c r="R7" s="25"/>
      <c r="S7" s="25"/>
      <c r="T7" s="25"/>
    </row>
    <row r="8" spans="1:20" x14ac:dyDescent="0.2">
      <c r="A8" s="25"/>
      <c r="B8" s="25"/>
      <c r="C8" s="25"/>
      <c r="D8" s="25"/>
      <c r="E8" s="25"/>
      <c r="F8" s="25"/>
      <c r="G8" s="25"/>
      <c r="H8" s="1"/>
      <c r="I8" s="25"/>
      <c r="J8" s="25"/>
      <c r="K8" s="25"/>
      <c r="L8" s="25"/>
      <c r="M8" s="25"/>
      <c r="N8" s="25"/>
      <c r="O8" s="25"/>
      <c r="P8" s="25"/>
      <c r="Q8" s="25"/>
      <c r="R8" s="25"/>
      <c r="S8" s="25"/>
      <c r="T8" s="25"/>
    </row>
    <row r="9" spans="1:20" ht="13.5" thickBot="1" x14ac:dyDescent="0.25">
      <c r="A9" s="25"/>
      <c r="B9" s="25"/>
      <c r="C9" s="25"/>
      <c r="D9" s="25"/>
      <c r="E9" s="25"/>
      <c r="F9" s="25"/>
      <c r="G9" s="25"/>
      <c r="H9" s="1"/>
      <c r="I9" s="25"/>
      <c r="J9" s="25"/>
      <c r="K9" s="25"/>
      <c r="L9" s="25"/>
      <c r="M9" s="25"/>
      <c r="N9" s="25"/>
      <c r="O9" s="25"/>
      <c r="P9" s="25"/>
      <c r="Q9" s="25"/>
      <c r="R9" s="25"/>
      <c r="S9" s="25"/>
      <c r="T9" s="25"/>
    </row>
    <row r="10" spans="1:20" ht="13.5" thickBot="1" x14ac:dyDescent="0.25">
      <c r="A10" s="25"/>
      <c r="B10" s="25"/>
      <c r="C10" s="25"/>
      <c r="D10" s="25"/>
      <c r="E10" s="25"/>
      <c r="F10" s="604">
        <f>LOOKUP(B22,data_eyebolts!B2:B13,data_eyebolts!F2:F13)</f>
        <v>460</v>
      </c>
      <c r="G10" s="25" t="s">
        <v>2014</v>
      </c>
      <c r="H10" s="1"/>
      <c r="I10" s="25"/>
      <c r="J10" s="25"/>
      <c r="K10" s="25"/>
      <c r="L10" s="25"/>
      <c r="M10" s="25"/>
      <c r="N10" s="25"/>
      <c r="O10" s="25"/>
      <c r="P10" s="25"/>
      <c r="Q10" s="25"/>
      <c r="R10" s="25"/>
      <c r="S10" s="25"/>
      <c r="T10" s="25"/>
    </row>
    <row r="11" spans="1:20" ht="13.5" thickBot="1" x14ac:dyDescent="0.25">
      <c r="A11" s="25"/>
      <c r="B11" s="25"/>
      <c r="C11" s="25"/>
      <c r="D11" s="25"/>
      <c r="E11" s="25"/>
      <c r="F11" s="25"/>
      <c r="G11" s="25"/>
      <c r="H11" s="1"/>
      <c r="I11" s="25"/>
      <c r="J11" s="25"/>
      <c r="K11" s="25"/>
      <c r="L11" s="25"/>
      <c r="M11" s="604">
        <f>LOOKUP(J22,data_eyebolts!B15:B33,data_eyebolts!G15:G33)</f>
        <v>650</v>
      </c>
      <c r="N11" s="199" t="str">
        <f>IF($L$22=1,"Kg","Lb")</f>
        <v>Lb</v>
      </c>
      <c r="O11" s="25"/>
      <c r="P11" s="25"/>
      <c r="Q11" s="25"/>
      <c r="R11" s="25"/>
      <c r="S11" s="25"/>
      <c r="T11" s="25"/>
    </row>
    <row r="12" spans="1:20" x14ac:dyDescent="0.2">
      <c r="A12" s="25"/>
      <c r="B12" s="25"/>
      <c r="C12" s="25"/>
      <c r="D12" s="25"/>
      <c r="E12" s="25"/>
      <c r="F12" s="25"/>
      <c r="G12" s="25"/>
      <c r="H12" s="1"/>
      <c r="I12" s="25"/>
      <c r="J12" s="25"/>
      <c r="K12" s="25"/>
      <c r="L12" s="25"/>
      <c r="M12" s="25"/>
      <c r="N12" s="25"/>
      <c r="O12" s="25"/>
      <c r="P12" s="25"/>
      <c r="Q12" s="25"/>
      <c r="R12" s="25"/>
      <c r="S12" s="25"/>
      <c r="T12" s="25"/>
    </row>
    <row r="13" spans="1:20" x14ac:dyDescent="0.2">
      <c r="A13" s="25"/>
      <c r="B13" s="25"/>
      <c r="C13" s="25"/>
      <c r="D13" s="25"/>
      <c r="E13" s="25"/>
      <c r="F13" s="25"/>
      <c r="G13" s="25"/>
      <c r="H13" s="1"/>
      <c r="I13" s="25"/>
      <c r="J13" s="25"/>
      <c r="K13" s="25"/>
      <c r="L13" s="25"/>
      <c r="M13" s="25"/>
      <c r="N13" s="25"/>
      <c r="O13" s="25"/>
      <c r="P13" s="25"/>
      <c r="Q13" s="25"/>
      <c r="R13" s="25"/>
      <c r="S13" s="25"/>
      <c r="T13" s="25"/>
    </row>
    <row r="14" spans="1:20" x14ac:dyDescent="0.2">
      <c r="A14" s="25"/>
      <c r="B14" s="25"/>
      <c r="C14" s="25"/>
      <c r="D14" s="25"/>
      <c r="E14" s="25"/>
      <c r="F14" s="25"/>
      <c r="G14" s="25"/>
      <c r="H14" s="1"/>
      <c r="I14" s="25"/>
      <c r="J14" s="25"/>
      <c r="K14" s="25"/>
      <c r="L14" s="25"/>
      <c r="M14" s="25"/>
      <c r="N14" s="25"/>
      <c r="O14" s="25"/>
      <c r="P14" s="25"/>
      <c r="Q14" s="25"/>
      <c r="R14" s="25"/>
      <c r="S14" s="25"/>
      <c r="T14" s="25"/>
    </row>
    <row r="15" spans="1:20" x14ac:dyDescent="0.2">
      <c r="A15" s="25"/>
      <c r="B15" s="25"/>
      <c r="C15" s="25"/>
      <c r="D15" s="25"/>
      <c r="E15" s="25"/>
      <c r="F15" s="25"/>
      <c r="G15" s="25"/>
      <c r="H15" s="1"/>
      <c r="I15" s="25"/>
      <c r="J15" s="25"/>
      <c r="K15" s="25"/>
      <c r="L15" s="25"/>
      <c r="M15" s="70"/>
      <c r="N15" s="25"/>
      <c r="O15" s="25"/>
      <c r="P15" s="25"/>
      <c r="Q15" s="25"/>
      <c r="R15" s="25"/>
      <c r="S15" s="25"/>
      <c r="T15" s="25"/>
    </row>
    <row r="16" spans="1:20" x14ac:dyDescent="0.2">
      <c r="A16" s="25"/>
      <c r="B16" s="25"/>
      <c r="C16" s="25"/>
      <c r="D16" s="25"/>
      <c r="E16" s="25"/>
      <c r="F16" s="25"/>
      <c r="G16" s="25"/>
      <c r="H16" s="1"/>
      <c r="I16" s="25"/>
      <c r="J16" s="25"/>
      <c r="K16" s="25"/>
      <c r="L16" s="25"/>
      <c r="M16" s="25"/>
      <c r="N16" s="25"/>
      <c r="O16" s="25"/>
      <c r="P16" s="25"/>
      <c r="Q16" s="25"/>
      <c r="R16" s="25"/>
      <c r="S16" s="25"/>
      <c r="T16" s="25"/>
    </row>
    <row r="17" spans="1:20" x14ac:dyDescent="0.2">
      <c r="A17" s="25"/>
      <c r="B17" s="25"/>
      <c r="C17" s="25"/>
      <c r="D17" s="25"/>
      <c r="E17" s="25"/>
      <c r="F17" s="25"/>
      <c r="G17" s="25"/>
      <c r="H17" s="1"/>
      <c r="I17" s="25"/>
      <c r="J17" s="25"/>
      <c r="K17" s="25"/>
      <c r="L17" s="25"/>
      <c r="M17" s="25"/>
      <c r="N17" s="25"/>
      <c r="O17" s="25"/>
      <c r="P17" s="25"/>
      <c r="Q17" s="25"/>
      <c r="R17" s="25"/>
      <c r="S17" s="25"/>
      <c r="T17" s="25"/>
    </row>
    <row r="18" spans="1:20" x14ac:dyDescent="0.2">
      <c r="A18" s="25"/>
      <c r="B18" s="25"/>
      <c r="C18" s="25"/>
      <c r="D18" s="25"/>
      <c r="E18" s="25"/>
      <c r="F18" s="25"/>
      <c r="G18" s="25"/>
      <c r="H18" s="1"/>
      <c r="I18" s="25"/>
      <c r="J18" s="25"/>
      <c r="K18" s="25"/>
      <c r="L18" s="25"/>
      <c r="M18" s="25"/>
      <c r="N18" s="25"/>
      <c r="O18" s="25"/>
      <c r="P18" s="25"/>
      <c r="Q18" s="25"/>
      <c r="R18" s="25"/>
      <c r="S18" s="25"/>
      <c r="T18" s="25"/>
    </row>
    <row r="19" spans="1:20" x14ac:dyDescent="0.2">
      <c r="A19" s="25"/>
      <c r="B19" s="25"/>
      <c r="C19" s="25"/>
      <c r="D19" s="25"/>
      <c r="E19" s="25"/>
      <c r="F19" s="25"/>
      <c r="G19" s="25"/>
      <c r="H19" s="1"/>
      <c r="I19" s="25"/>
      <c r="J19" s="25"/>
      <c r="K19" s="25"/>
      <c r="L19" s="25"/>
      <c r="M19" s="25"/>
      <c r="N19" s="25"/>
      <c r="O19" s="25"/>
      <c r="P19" s="25"/>
      <c r="Q19" s="25"/>
      <c r="R19" s="25"/>
      <c r="S19" s="25"/>
      <c r="T19" s="25"/>
    </row>
    <row r="20" spans="1:20" x14ac:dyDescent="0.2">
      <c r="A20" s="25"/>
      <c r="B20" s="25"/>
      <c r="C20" s="25"/>
      <c r="D20" s="25"/>
      <c r="E20" s="25"/>
      <c r="F20" s="25"/>
      <c r="G20" s="25"/>
      <c r="H20" s="1"/>
      <c r="I20" s="25"/>
      <c r="J20" s="25"/>
      <c r="K20" s="25"/>
      <c r="L20" s="25"/>
      <c r="M20" s="25"/>
      <c r="N20" s="25"/>
      <c r="O20" s="25"/>
      <c r="P20" s="25"/>
      <c r="Q20" s="25"/>
      <c r="R20" s="25"/>
      <c r="S20" s="25"/>
      <c r="T20" s="25"/>
    </row>
    <row r="21" spans="1:20" ht="16.5" customHeight="1" x14ac:dyDescent="0.2">
      <c r="A21" s="974" t="str">
        <f>LOOKUP(B22,data_eyebolts!B2:B13,data_eyebolts!C2:C13)</f>
        <v xml:space="preserve">1/2"  UNC Machinery Shoulder Eyebolt </v>
      </c>
      <c r="B21" s="974"/>
      <c r="C21" s="974"/>
      <c r="D21" s="974"/>
      <c r="E21" s="974"/>
      <c r="F21" s="198"/>
      <c r="G21" s="25"/>
      <c r="H21" s="1"/>
      <c r="I21" s="973" t="str">
        <f>LOOKUP(J22,data_eyebolts!B15:B33,data_eyebolts!C15:C33)</f>
        <v>1/2"-13   UNC -Crosby® Machinery Eyebolt ( # 9900217)</v>
      </c>
      <c r="J21" s="973"/>
      <c r="K21" s="973"/>
      <c r="L21" s="973"/>
      <c r="M21" s="973"/>
      <c r="N21" s="25"/>
      <c r="O21" s="25"/>
      <c r="P21" s="25"/>
      <c r="Q21" s="25"/>
      <c r="R21" s="25"/>
      <c r="S21" s="25"/>
      <c r="T21" s="25"/>
    </row>
    <row r="22" spans="1:20" ht="15.75" customHeight="1" x14ac:dyDescent="0.2">
      <c r="A22" s="25"/>
      <c r="B22" s="35">
        <v>4</v>
      </c>
      <c r="C22" s="25"/>
      <c r="D22" s="887" t="str">
        <f>IF(MASTERSWITCH=1,"EVALUATION PERIOD EXPIRED!","")</f>
        <v/>
      </c>
      <c r="E22" s="887"/>
      <c r="F22" s="887"/>
      <c r="G22" s="25"/>
      <c r="H22" s="1"/>
      <c r="I22" s="25"/>
      <c r="J22" s="35">
        <v>4</v>
      </c>
      <c r="K22" s="25"/>
      <c r="L22" s="200">
        <f>LOOKUP(J22,data_eyebolts!B15:B33,data_eyebolts!K15:K33)</f>
        <v>0</v>
      </c>
      <c r="M22" s="884" t="str">
        <f>IF($L$22=1,"METRIC VALUES","")</f>
        <v/>
      </c>
      <c r="N22" s="884"/>
      <c r="O22" s="25"/>
      <c r="P22" s="25"/>
      <c r="Q22" s="25"/>
      <c r="R22" s="25"/>
      <c r="S22" s="25"/>
      <c r="T22" s="25"/>
    </row>
    <row r="23" spans="1:20" x14ac:dyDescent="0.2">
      <c r="A23" s="25"/>
      <c r="B23" s="25"/>
      <c r="C23" s="25"/>
      <c r="D23" s="887" t="str">
        <f>IF(MASTERSWITCH=1,"PLEASE PURCHASE LICENSE TO","")</f>
        <v/>
      </c>
      <c r="E23" s="887"/>
      <c r="F23" s="887"/>
      <c r="G23" s="25"/>
      <c r="H23" s="1"/>
      <c r="I23" s="25"/>
      <c r="J23" s="25"/>
      <c r="K23" s="25"/>
      <c r="L23" s="25"/>
      <c r="M23" s="25"/>
      <c r="N23" s="25"/>
      <c r="O23" s="25"/>
      <c r="P23" s="25"/>
      <c r="Q23" s="25"/>
      <c r="R23" s="25"/>
      <c r="S23" s="25"/>
      <c r="T23" s="25"/>
    </row>
    <row r="24" spans="1:20" x14ac:dyDescent="0.2">
      <c r="A24" s="25"/>
      <c r="B24" s="25"/>
      <c r="C24" s="25"/>
      <c r="D24" s="887" t="str">
        <f>IF(MASTERSWITCH=1,"CONTINUE USING THIS PROGRAM","")</f>
        <v/>
      </c>
      <c r="E24" s="887"/>
      <c r="F24" s="887"/>
      <c r="G24" s="25"/>
      <c r="H24" s="1"/>
      <c r="I24" s="25"/>
      <c r="J24" s="25"/>
      <c r="K24" s="25"/>
      <c r="L24" s="25"/>
      <c r="M24" s="25"/>
      <c r="N24" s="25"/>
      <c r="O24" s="25"/>
      <c r="P24" s="25"/>
      <c r="Q24" s="25"/>
      <c r="R24" s="25"/>
      <c r="S24" s="25"/>
      <c r="T24" s="25"/>
    </row>
    <row r="25" spans="1:20" x14ac:dyDescent="0.2">
      <c r="A25" s="42" t="s">
        <v>427</v>
      </c>
      <c r="B25" s="197" t="str">
        <f>LOOKUP(B22,data_eyebolts!B2:B13,data_eyebolts!I2:I13)</f>
        <v>ANSI/ASME B18.15-1985 and ASME B30.26-2004</v>
      </c>
      <c r="C25" s="197"/>
      <c r="D25" s="25"/>
      <c r="E25" s="25"/>
      <c r="F25" s="25"/>
      <c r="G25" s="25"/>
      <c r="H25" s="1"/>
      <c r="I25" s="42" t="s">
        <v>427</v>
      </c>
      <c r="J25" s="197" t="str">
        <f>LOOKUP(J22,data_eyebolts!B15:B33,data_eyebolts!I15:I33)</f>
        <v>Crosby Users Guide, ASME version (10/04) panel 14</v>
      </c>
      <c r="K25" s="25"/>
      <c r="L25" s="25"/>
      <c r="M25" s="25"/>
      <c r="N25" s="25"/>
      <c r="O25" s="25"/>
      <c r="P25" s="25"/>
      <c r="Q25" s="25"/>
      <c r="R25" s="25"/>
      <c r="S25" s="25"/>
      <c r="T25" s="25"/>
    </row>
    <row r="26" spans="1:20" x14ac:dyDescent="0.2">
      <c r="A26" s="25"/>
      <c r="B26" s="25"/>
      <c r="C26" s="25"/>
      <c r="D26" s="25"/>
      <c r="E26" s="25"/>
      <c r="F26" s="25"/>
      <c r="G26" s="25"/>
      <c r="H26" s="1"/>
      <c r="I26" s="25"/>
      <c r="J26" s="25"/>
      <c r="K26" s="25"/>
      <c r="L26" s="25"/>
      <c r="M26" s="25"/>
      <c r="N26" s="25"/>
      <c r="O26" s="25"/>
      <c r="P26" s="25"/>
      <c r="Q26" s="25"/>
      <c r="R26" s="25"/>
      <c r="S26" s="25"/>
      <c r="T26" s="25"/>
    </row>
    <row r="27" spans="1:20" ht="18.75" customHeight="1" x14ac:dyDescent="0.2">
      <c r="A27" s="1"/>
      <c r="B27" s="1"/>
      <c r="C27" s="1"/>
      <c r="D27" s="1"/>
      <c r="E27" s="1"/>
      <c r="F27" s="1"/>
      <c r="G27" s="1"/>
      <c r="H27" s="1"/>
      <c r="I27" s="1"/>
      <c r="J27" s="1"/>
      <c r="K27" s="1"/>
      <c r="L27" s="1"/>
      <c r="M27" s="1"/>
      <c r="N27" s="25"/>
      <c r="O27" s="25"/>
      <c r="P27" s="25"/>
      <c r="Q27" s="25"/>
      <c r="R27" s="25"/>
      <c r="S27" s="25"/>
      <c r="T27" s="25"/>
    </row>
    <row r="28" spans="1:20" x14ac:dyDescent="0.2">
      <c r="A28" s="25"/>
      <c r="B28" s="25"/>
      <c r="C28" s="25"/>
      <c r="D28" s="25"/>
      <c r="E28" s="25"/>
      <c r="F28" s="25"/>
      <c r="G28" s="25"/>
      <c r="H28" s="25"/>
      <c r="I28" s="25"/>
      <c r="J28" s="25"/>
      <c r="K28" s="25"/>
      <c r="L28" s="25"/>
      <c r="M28" s="25"/>
      <c r="N28" s="25"/>
      <c r="O28" s="25"/>
      <c r="P28" s="25"/>
      <c r="Q28" s="25"/>
      <c r="R28" s="25"/>
      <c r="S28" s="25"/>
      <c r="T28" s="25"/>
    </row>
    <row r="29" spans="1:20" x14ac:dyDescent="0.2">
      <c r="A29" s="25"/>
      <c r="B29" s="25"/>
      <c r="C29" s="25"/>
      <c r="D29" s="25"/>
      <c r="E29" s="25"/>
      <c r="F29" s="25"/>
      <c r="G29" s="25"/>
      <c r="H29" s="25"/>
      <c r="I29" s="25"/>
      <c r="J29" s="25"/>
      <c r="K29" s="25"/>
      <c r="L29" s="25"/>
      <c r="M29" s="25"/>
      <c r="N29" s="25"/>
      <c r="O29" s="25"/>
      <c r="P29" s="25"/>
      <c r="Q29" s="25"/>
      <c r="R29" s="25"/>
      <c r="S29" s="25"/>
      <c r="T29" s="25"/>
    </row>
    <row r="30" spans="1:20" x14ac:dyDescent="0.2">
      <c r="A30" s="25"/>
      <c r="B30" s="25"/>
      <c r="C30" s="25"/>
      <c r="D30" s="25"/>
      <c r="E30" s="25"/>
      <c r="F30" s="25"/>
      <c r="G30" s="25"/>
      <c r="H30" s="25"/>
      <c r="I30" s="25"/>
      <c r="J30" s="25"/>
      <c r="K30" s="25"/>
      <c r="L30" s="25"/>
      <c r="M30" s="25"/>
      <c r="N30" s="25"/>
      <c r="O30" s="25"/>
      <c r="P30" s="25"/>
      <c r="Q30" s="25"/>
      <c r="R30" s="25"/>
      <c r="S30" s="25"/>
      <c r="T30" s="25"/>
    </row>
    <row r="31" spans="1:20" x14ac:dyDescent="0.2">
      <c r="A31" s="25"/>
      <c r="B31" s="25"/>
      <c r="C31" s="25"/>
      <c r="D31" s="25"/>
      <c r="E31" s="25"/>
      <c r="F31" s="25"/>
      <c r="G31" s="25"/>
      <c r="H31" s="25"/>
      <c r="I31" s="25"/>
      <c r="J31" s="25"/>
      <c r="K31" s="25"/>
      <c r="L31" s="25"/>
      <c r="M31" s="25"/>
      <c r="N31" s="25"/>
      <c r="O31" s="25"/>
      <c r="P31" s="25"/>
      <c r="Q31" s="25"/>
      <c r="R31" s="25"/>
      <c r="S31" s="25"/>
      <c r="T31" s="25"/>
    </row>
    <row r="32" spans="1:20" x14ac:dyDescent="0.2">
      <c r="A32" s="25"/>
      <c r="B32" s="25"/>
      <c r="C32" s="25"/>
      <c r="D32" s="25"/>
      <c r="E32" s="25"/>
      <c r="F32" s="25"/>
      <c r="G32" s="25"/>
      <c r="H32" s="25"/>
      <c r="I32" s="25"/>
      <c r="J32" s="25"/>
      <c r="K32" s="25"/>
      <c r="L32" s="25"/>
      <c r="M32" s="25"/>
      <c r="N32" s="25"/>
      <c r="O32" s="25"/>
      <c r="P32" s="25"/>
      <c r="Q32" s="25"/>
      <c r="R32" s="25"/>
      <c r="S32" s="25"/>
      <c r="T32" s="25"/>
    </row>
    <row r="33" spans="1:20" x14ac:dyDescent="0.2">
      <c r="A33" s="25"/>
      <c r="B33" s="25"/>
      <c r="C33" s="25"/>
      <c r="D33" s="25"/>
      <c r="E33" s="25"/>
      <c r="F33" s="25"/>
      <c r="G33" s="25"/>
      <c r="H33" s="25"/>
      <c r="I33" s="25"/>
      <c r="J33" s="25"/>
      <c r="K33" s="25"/>
      <c r="L33" s="25"/>
      <c r="M33" s="25"/>
      <c r="N33" s="25"/>
      <c r="O33" s="25"/>
      <c r="P33" s="25"/>
      <c r="Q33" s="25"/>
      <c r="R33" s="25"/>
      <c r="S33" s="25"/>
      <c r="T33" s="25"/>
    </row>
    <row r="34" spans="1:20" x14ac:dyDescent="0.2">
      <c r="A34" s="25"/>
      <c r="B34" s="25"/>
      <c r="C34" s="25"/>
      <c r="D34" s="25"/>
      <c r="E34" s="25"/>
      <c r="F34" s="25"/>
      <c r="G34" s="25"/>
      <c r="H34" s="25"/>
      <c r="I34" s="25"/>
      <c r="J34" s="25"/>
      <c r="K34" s="25"/>
      <c r="L34" s="25"/>
      <c r="M34" s="25"/>
      <c r="N34" s="25"/>
      <c r="O34" s="25"/>
      <c r="P34" s="25"/>
      <c r="Q34" s="25"/>
      <c r="R34" s="25"/>
      <c r="S34" s="25"/>
      <c r="T34" s="25"/>
    </row>
    <row r="35" spans="1:20" x14ac:dyDescent="0.2">
      <c r="A35" s="25"/>
      <c r="B35" s="25"/>
      <c r="C35" s="25"/>
      <c r="D35" s="25"/>
      <c r="E35" s="25"/>
      <c r="F35" s="25"/>
      <c r="G35" s="25"/>
      <c r="H35" s="25"/>
      <c r="I35" s="25"/>
      <c r="J35" s="25"/>
      <c r="K35" s="25"/>
      <c r="L35" s="25"/>
      <c r="M35" s="25"/>
      <c r="N35" s="25"/>
      <c r="O35" s="25"/>
      <c r="P35" s="25"/>
      <c r="Q35" s="25"/>
      <c r="R35" s="25"/>
      <c r="S35" s="25"/>
      <c r="T35" s="25"/>
    </row>
    <row r="36" spans="1:20" x14ac:dyDescent="0.2">
      <c r="A36" s="25"/>
      <c r="B36" s="25"/>
      <c r="C36" s="25"/>
      <c r="D36" s="25"/>
      <c r="E36" s="25"/>
      <c r="F36" s="25"/>
      <c r="G36" s="25"/>
      <c r="H36" s="25"/>
      <c r="I36" s="25"/>
      <c r="J36" s="25"/>
      <c r="K36" s="25"/>
      <c r="L36" s="25"/>
      <c r="M36" s="25"/>
      <c r="N36" s="25"/>
      <c r="O36" s="25"/>
      <c r="P36" s="25"/>
      <c r="Q36" s="25"/>
      <c r="R36" s="25"/>
      <c r="S36" s="25"/>
      <c r="T36" s="25"/>
    </row>
    <row r="37" spans="1:20" x14ac:dyDescent="0.2">
      <c r="A37" s="25"/>
      <c r="B37" s="25"/>
      <c r="C37" s="25"/>
      <c r="D37" s="25"/>
      <c r="E37" s="25"/>
      <c r="F37" s="25"/>
      <c r="G37" s="25"/>
      <c r="H37" s="25"/>
      <c r="I37" s="25"/>
      <c r="J37" s="25"/>
      <c r="K37" s="25"/>
      <c r="L37" s="25"/>
      <c r="M37" s="25"/>
      <c r="N37" s="25"/>
      <c r="O37" s="25"/>
      <c r="P37" s="25"/>
      <c r="Q37" s="25"/>
      <c r="R37" s="25"/>
      <c r="S37" s="25"/>
      <c r="T37" s="25"/>
    </row>
    <row r="38" spans="1:20" x14ac:dyDescent="0.2">
      <c r="A38" s="25"/>
      <c r="B38" s="25"/>
      <c r="C38" s="25"/>
      <c r="D38" s="25"/>
      <c r="E38" s="25"/>
      <c r="F38" s="25"/>
      <c r="G38" s="25"/>
      <c r="H38" s="25"/>
      <c r="I38" s="25"/>
      <c r="J38" s="25"/>
      <c r="K38" s="25"/>
      <c r="L38" s="25"/>
      <c r="M38" s="25"/>
      <c r="N38" s="25"/>
      <c r="O38" s="25"/>
      <c r="P38" s="25"/>
      <c r="Q38" s="25"/>
      <c r="R38" s="25"/>
      <c r="S38" s="25"/>
      <c r="T38" s="25"/>
    </row>
    <row r="39" spans="1:20" x14ac:dyDescent="0.2">
      <c r="A39" s="25"/>
      <c r="B39" s="25"/>
      <c r="C39" s="25"/>
      <c r="D39" s="25"/>
      <c r="E39" s="25"/>
      <c r="F39" s="25"/>
      <c r="G39" s="25"/>
      <c r="H39" s="25"/>
      <c r="I39" s="25"/>
      <c r="J39" s="25"/>
      <c r="K39" s="25"/>
      <c r="L39" s="25"/>
      <c r="M39" s="25"/>
      <c r="N39" s="25"/>
      <c r="O39" s="25"/>
      <c r="P39" s="25"/>
      <c r="Q39" s="25"/>
      <c r="R39" s="25"/>
      <c r="S39" s="25"/>
      <c r="T39" s="25"/>
    </row>
    <row r="40" spans="1:20" x14ac:dyDescent="0.2">
      <c r="A40" s="25"/>
      <c r="B40" s="25"/>
      <c r="C40" s="25"/>
      <c r="D40" s="25"/>
      <c r="E40" s="25"/>
      <c r="F40" s="25"/>
      <c r="G40" s="25"/>
      <c r="H40" s="25"/>
      <c r="I40" s="25"/>
      <c r="J40" s="25"/>
      <c r="K40" s="25"/>
      <c r="L40" s="25"/>
      <c r="M40" s="25"/>
      <c r="N40" s="25"/>
      <c r="O40" s="25"/>
      <c r="P40" s="25"/>
      <c r="Q40" s="25"/>
      <c r="R40" s="25"/>
      <c r="S40" s="25"/>
      <c r="T40" s="25"/>
    </row>
    <row r="41" spans="1:20" x14ac:dyDescent="0.2">
      <c r="A41" s="25"/>
      <c r="B41" s="25"/>
      <c r="C41" s="25"/>
      <c r="D41" s="25"/>
      <c r="E41" s="25"/>
      <c r="F41" s="25"/>
      <c r="G41" s="25"/>
      <c r="H41" s="25"/>
      <c r="I41" s="25"/>
      <c r="J41" s="25"/>
      <c r="K41" s="25"/>
      <c r="L41" s="25"/>
      <c r="M41" s="25"/>
      <c r="N41" s="25"/>
      <c r="O41" s="25"/>
      <c r="P41" s="25"/>
      <c r="Q41" s="25"/>
      <c r="R41" s="25"/>
      <c r="S41" s="25"/>
      <c r="T41" s="25"/>
    </row>
    <row r="42" spans="1:20" x14ac:dyDescent="0.2">
      <c r="A42" s="25"/>
      <c r="B42" s="25"/>
      <c r="C42" s="25"/>
      <c r="D42" s="25"/>
      <c r="E42" s="25"/>
      <c r="F42" s="25"/>
      <c r="G42" s="25"/>
      <c r="H42" s="25"/>
      <c r="I42" s="25"/>
      <c r="J42" s="25"/>
      <c r="K42" s="25"/>
      <c r="L42" s="25"/>
      <c r="M42" s="25"/>
      <c r="N42" s="25"/>
      <c r="O42" s="25"/>
      <c r="P42" s="25"/>
      <c r="Q42" s="25"/>
      <c r="R42" s="25"/>
      <c r="S42" s="25"/>
      <c r="T42" s="25"/>
    </row>
    <row r="43" spans="1:20" x14ac:dyDescent="0.2">
      <c r="A43" s="25"/>
      <c r="B43" s="25"/>
      <c r="C43" s="25"/>
      <c r="D43" s="25"/>
      <c r="E43" s="25"/>
      <c r="F43" s="25"/>
      <c r="G43" s="25"/>
      <c r="H43" s="25"/>
      <c r="I43" s="25"/>
      <c r="J43" s="25"/>
      <c r="K43" s="25"/>
      <c r="L43" s="25"/>
      <c r="M43" s="25"/>
      <c r="N43" s="25"/>
      <c r="O43" s="25"/>
      <c r="P43" s="25"/>
      <c r="Q43" s="25"/>
      <c r="R43" s="25"/>
      <c r="S43" s="25"/>
      <c r="T43" s="25"/>
    </row>
    <row r="44" spans="1:20" x14ac:dyDescent="0.2">
      <c r="A44" s="25"/>
      <c r="B44" s="25"/>
      <c r="C44" s="25"/>
      <c r="D44" s="25"/>
      <c r="E44" s="25"/>
      <c r="F44" s="25"/>
      <c r="G44" s="25"/>
      <c r="H44" s="25"/>
      <c r="I44" s="25"/>
      <c r="J44" s="25"/>
      <c r="K44" s="25"/>
      <c r="L44" s="25"/>
      <c r="M44" s="25"/>
      <c r="N44" s="25"/>
      <c r="O44" s="25"/>
      <c r="P44" s="25"/>
      <c r="Q44" s="25"/>
      <c r="R44" s="25"/>
      <c r="S44" s="25"/>
      <c r="T44" s="25"/>
    </row>
    <row r="45" spans="1:20" x14ac:dyDescent="0.2">
      <c r="A45" s="25"/>
      <c r="B45" s="25"/>
      <c r="C45" s="25"/>
      <c r="D45" s="25"/>
      <c r="E45" s="25"/>
      <c r="F45" s="25"/>
      <c r="G45" s="25"/>
      <c r="H45" s="25"/>
      <c r="I45" s="25"/>
      <c r="J45" s="25"/>
      <c r="K45" s="25"/>
      <c r="L45" s="25"/>
      <c r="M45" s="25"/>
      <c r="N45" s="25"/>
      <c r="O45" s="25"/>
      <c r="P45" s="25"/>
      <c r="Q45" s="25"/>
      <c r="R45" s="25"/>
      <c r="S45" s="25"/>
      <c r="T45" s="25"/>
    </row>
    <row r="46" spans="1:20" x14ac:dyDescent="0.2">
      <c r="A46" s="25"/>
      <c r="B46" s="25"/>
      <c r="C46" s="25"/>
      <c r="D46" s="25"/>
      <c r="E46" s="25"/>
      <c r="F46" s="25"/>
      <c r="G46" s="25"/>
      <c r="H46" s="25"/>
      <c r="I46" s="25"/>
      <c r="J46" s="25"/>
      <c r="K46" s="25"/>
      <c r="L46" s="25"/>
      <c r="M46" s="25"/>
      <c r="N46" s="25"/>
      <c r="O46" s="25"/>
      <c r="P46" s="25"/>
      <c r="Q46" s="25"/>
      <c r="R46" s="25"/>
      <c r="S46" s="25"/>
      <c r="T46" s="25"/>
    </row>
    <row r="47" spans="1:20" x14ac:dyDescent="0.2">
      <c r="A47" s="25"/>
      <c r="B47" s="25"/>
      <c r="C47" s="25"/>
      <c r="D47" s="25"/>
      <c r="E47" s="25"/>
      <c r="F47" s="25"/>
      <c r="G47" s="25"/>
      <c r="H47" s="25"/>
      <c r="I47" s="25"/>
      <c r="J47" s="25"/>
      <c r="K47" s="25"/>
      <c r="L47" s="25"/>
      <c r="M47" s="25"/>
      <c r="N47" s="25"/>
      <c r="O47" s="25"/>
      <c r="P47" s="25"/>
      <c r="Q47" s="25"/>
      <c r="R47" s="25"/>
      <c r="S47" s="25"/>
      <c r="T47" s="25"/>
    </row>
    <row r="48" spans="1:20" x14ac:dyDescent="0.2">
      <c r="A48" s="25"/>
      <c r="B48" s="25"/>
      <c r="C48" s="25"/>
      <c r="D48" s="25"/>
      <c r="E48" s="25"/>
      <c r="F48" s="25"/>
      <c r="G48" s="25"/>
      <c r="H48" s="25"/>
      <c r="I48" s="25"/>
      <c r="J48" s="25"/>
      <c r="K48" s="25"/>
      <c r="L48" s="25"/>
      <c r="M48" s="25"/>
      <c r="N48" s="25"/>
      <c r="O48" s="25"/>
      <c r="P48" s="25"/>
      <c r="Q48" s="25"/>
      <c r="R48" s="25"/>
      <c r="S48" s="25"/>
      <c r="T48" s="25"/>
    </row>
  </sheetData>
  <sheetProtection password="D809" sheet="1" objects="1" scenarios="1" selectLockedCells="1"/>
  <mergeCells count="6">
    <mergeCell ref="D23:F23"/>
    <mergeCell ref="D24:F24"/>
    <mergeCell ref="I21:M21"/>
    <mergeCell ref="A21:E21"/>
    <mergeCell ref="M22:N22"/>
    <mergeCell ref="D22:F22"/>
  </mergeCells>
  <phoneticPr fontId="15" type="noConversion"/>
  <conditionalFormatting sqref="D22:D24">
    <cfRule type="expression" dxfId="18" priority="1" stopIfTrue="1">
      <formula>(MASTERSWITCH=1)</formula>
    </cfRule>
  </conditionalFormatting>
  <conditionalFormatting sqref="K2 M5 N7 N11">
    <cfRule type="cellIs" dxfId="17" priority="2" stopIfTrue="1" operator="equal">
      <formula>"Kg"</formula>
    </cfRule>
  </conditionalFormatting>
  <conditionalFormatting sqref="L22">
    <cfRule type="cellIs" dxfId="16" priority="3" stopIfTrue="1" operator="equal">
      <formula>1</formula>
    </cfRule>
  </conditionalFormatting>
  <conditionalFormatting sqref="M22">
    <cfRule type="cellIs" dxfId="15" priority="4" stopIfTrue="1" operator="equal">
      <formula>"METRIC VALUES"</formula>
    </cfRule>
  </conditionalFormatting>
  <conditionalFormatting sqref="E3 B3 F10 J2 L5 M7 M11">
    <cfRule type="expression" dxfId="14" priority="5" stopIfTrue="1">
      <formula>(MASTERSWITCH=1)</formula>
    </cfRule>
  </conditionalFormatting>
  <printOptions horizontalCentered="1"/>
  <pageMargins left="0.75" right="0.75" top="1.75" bottom="1.5" header="0.5" footer="0.5"/>
  <pageSetup scale="67" orientation="portrait" horizontalDpi="0" verticalDpi="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6086" r:id="rId5" name="Drop Down 6">
              <controlPr locked="0" defaultSize="0" autoLine="0" autoPict="0">
                <anchor>
                  <from>
                    <xdr:col>0</xdr:col>
                    <xdr:colOff>38100</xdr:colOff>
                    <xdr:row>21</xdr:row>
                    <xdr:rowOff>9525</xdr:rowOff>
                  </from>
                  <to>
                    <xdr:col>2</xdr:col>
                    <xdr:colOff>542925</xdr:colOff>
                    <xdr:row>22</xdr:row>
                    <xdr:rowOff>9525</xdr:rowOff>
                  </to>
                </anchor>
              </controlPr>
            </control>
          </mc:Choice>
        </mc:AlternateContent>
        <mc:AlternateContent xmlns:mc="http://schemas.openxmlformats.org/markup-compatibility/2006">
          <mc:Choice Requires="x14">
            <control shapeId="46087" r:id="rId6" name="Drop Down 7">
              <controlPr locked="0" defaultSize="0" autoLine="0" autoPict="0">
                <anchor>
                  <from>
                    <xdr:col>8</xdr:col>
                    <xdr:colOff>9525</xdr:colOff>
                    <xdr:row>21</xdr:row>
                    <xdr:rowOff>0</xdr:rowOff>
                  </from>
                  <to>
                    <xdr:col>11</xdr:col>
                    <xdr:colOff>209550</xdr:colOff>
                    <xdr:row>22</xdr:row>
                    <xdr:rowOff>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pageSetUpPr fitToPage="1"/>
  </sheetPr>
  <dimension ref="A1:L28"/>
  <sheetViews>
    <sheetView showRowColHeaders="0" workbookViewId="0"/>
  </sheetViews>
  <sheetFormatPr defaultRowHeight="12.75" x14ac:dyDescent="0.2"/>
  <cols>
    <col min="1" max="1" width="15.28515625" style="25" customWidth="1"/>
    <col min="2" max="2" width="10.28515625" style="25" customWidth="1"/>
    <col min="3" max="7" width="9.140625" style="25"/>
    <col min="8" max="9" width="10.5703125" style="25" customWidth="1"/>
    <col min="10" max="10" width="17.7109375" style="25" customWidth="1"/>
    <col min="11" max="11" width="7.7109375" style="25" customWidth="1"/>
    <col min="12" max="12" width="16.28515625" style="25" customWidth="1"/>
    <col min="13" max="14" width="9.140625" style="25"/>
    <col min="15" max="15" width="11.42578125" style="25" customWidth="1"/>
    <col min="16" max="16384" width="9.140625" style="25"/>
  </cols>
  <sheetData>
    <row r="1" spans="1:12" ht="13.5" thickBot="1" x14ac:dyDescent="0.25">
      <c r="A1" s="35"/>
      <c r="B1"/>
    </row>
    <row r="2" spans="1:12" ht="16.5" thickBot="1" x14ac:dyDescent="0.3">
      <c r="E2" s="182">
        <f>LOOKUP(C19,data_shackle!A4:A61,data_shackle!L4:L61)</f>
        <v>1.84</v>
      </c>
      <c r="L2" s="831" t="s">
        <v>1844</v>
      </c>
    </row>
    <row r="3" spans="1:12" x14ac:dyDescent="0.2">
      <c r="J3" s="829" t="str">
        <f>CONCATENATE((B14*0.5)," lbs WLL")</f>
        <v>40000 lbs WLL</v>
      </c>
      <c r="K3" s="60"/>
    </row>
    <row r="4" spans="1:12" ht="13.5" thickBot="1" x14ac:dyDescent="0.25">
      <c r="J4" s="830" t="str">
        <f>CONCATENATE(((B14*0.5)/2000)," tons WLL")</f>
        <v>20 tons WLL</v>
      </c>
    </row>
    <row r="5" spans="1:12" ht="16.5" customHeight="1" thickBot="1" x14ac:dyDescent="0.25"/>
    <row r="6" spans="1:12" ht="13.5" thickBot="1" x14ac:dyDescent="0.25">
      <c r="K6" s="977" t="str">
        <f>CONCATENATE(($B$14*0.3)," lbs WLL")</f>
        <v>24000 lbs WLL</v>
      </c>
      <c r="L6" s="978"/>
    </row>
    <row r="7" spans="1:12" ht="16.5" thickBot="1" x14ac:dyDescent="0.3">
      <c r="B7" s="181">
        <f>LOOKUP(C19,data_shackle!A4:A61,data_shackle!K4:K61)</f>
        <v>2.25</v>
      </c>
      <c r="K7" s="979" t="str">
        <f>CONCATENATE((($B$14*0.3)/2000)," tons WLL")</f>
        <v>12 tons WLL</v>
      </c>
      <c r="L7" s="980"/>
    </row>
    <row r="8" spans="1:12" ht="13.5" thickBot="1" x14ac:dyDescent="0.25"/>
    <row r="9" spans="1:12" ht="16.5" thickBot="1" x14ac:dyDescent="0.3">
      <c r="B9" s="182">
        <f>LOOKUP(C19,data_shackle!A4:A61,data_shackle!P4:P61)</f>
        <v>9.33</v>
      </c>
    </row>
    <row r="10" spans="1:12" ht="13.5" thickBot="1" x14ac:dyDescent="0.25"/>
    <row r="11" spans="1:12" ht="16.5" thickBot="1" x14ac:dyDescent="0.3">
      <c r="B11" s="181">
        <f>LOOKUP(C19,data_shackle!A4:A61,data_shackle!J4:J61)</f>
        <v>2.04</v>
      </c>
    </row>
    <row r="12" spans="1:12" x14ac:dyDescent="0.2">
      <c r="L12" s="829" t="str">
        <f>CONCATENATE(($B$14)," lbs WLL")</f>
        <v>80000 lbs WLL</v>
      </c>
    </row>
    <row r="13" spans="1:12" ht="17.25" customHeight="1" thickBot="1" x14ac:dyDescent="0.25">
      <c r="L13" s="830" t="str">
        <f>CONCATENATE((($B$14)/2000)," tons WLL")</f>
        <v>40 tons WLL</v>
      </c>
    </row>
    <row r="14" spans="1:12" ht="16.5" thickBot="1" x14ac:dyDescent="0.3">
      <c r="B14" s="827">
        <f>LOOKUP(C19,data_shackle!A4:A61,data_shackle!U4:U61)</f>
        <v>80000</v>
      </c>
      <c r="C14" s="828" t="s">
        <v>284</v>
      </c>
      <c r="E14" s="181">
        <f>LOOKUP(C19,data_shackle!A4:A61,data_shackle!I4:I61)</f>
        <v>2.88</v>
      </c>
    </row>
    <row r="15" spans="1:12" ht="12.75" customHeight="1" thickBot="1" x14ac:dyDescent="0.25">
      <c r="B15" s="975" t="str">
        <f>CONCATENATE((B14/2000)," tons WLL")</f>
        <v>40 tons WLL</v>
      </c>
      <c r="C15" s="976"/>
    </row>
    <row r="16" spans="1:12" ht="18.75" customHeight="1" x14ac:dyDescent="0.2">
      <c r="B16" s="981" t="str">
        <f>LOOKUP(C19,data_shackle!A4:A61,data_shackle!B4:B61)</f>
        <v>Crosby® G-2140 ALLOY 1-3/4" Bolt Type Anchor Shackle WLL: 40(t)</v>
      </c>
      <c r="C16" s="981"/>
      <c r="D16" s="981"/>
      <c r="E16" s="981"/>
      <c r="F16" s="981"/>
      <c r="G16" s="981"/>
      <c r="H16" s="981"/>
    </row>
    <row r="17" spans="1:11" x14ac:dyDescent="0.2">
      <c r="B17" s="176" t="s">
        <v>280</v>
      </c>
      <c r="C17" s="179">
        <f>LOOKUP(C19,data_shackle!A4:A61,data_shackle!G4:G61)</f>
        <v>1021138</v>
      </c>
      <c r="D17" s="173"/>
      <c r="E17" s="174" t="s">
        <v>281</v>
      </c>
      <c r="F17" s="180">
        <f>LOOKUP(C19,data_shackle!A4:A61,data_shackle!H4:H61)</f>
        <v>33.9</v>
      </c>
      <c r="G17" s="175" t="s">
        <v>282</v>
      </c>
      <c r="H17" s="173"/>
    </row>
    <row r="19" spans="1:11" x14ac:dyDescent="0.2">
      <c r="C19" s="35">
        <v>49</v>
      </c>
      <c r="E19" s="35">
        <f>LOOKUP(C19,data_shackle!A4:A61,data_shackle!C4:C61)</f>
        <v>49</v>
      </c>
    </row>
    <row r="21" spans="1:11" x14ac:dyDescent="0.2">
      <c r="B21" s="983" t="str">
        <f>IF(E19=1,"NOTE: Anchor image is shown above - the CHAIN shackle selected is slightly different","")</f>
        <v/>
      </c>
      <c r="C21" s="983"/>
      <c r="D21" s="983"/>
      <c r="E21" s="983"/>
      <c r="F21" s="983"/>
      <c r="G21" s="983"/>
      <c r="H21" s="983"/>
    </row>
    <row r="22" spans="1:11" x14ac:dyDescent="0.2">
      <c r="A22" s="984" t="s">
        <v>361</v>
      </c>
      <c r="B22" s="984"/>
      <c r="C22" s="984"/>
      <c r="E22" s="887" t="str">
        <f>IF(MASTERSWITCH=1,"EVALUATION PERIOD EXPIRED!","")</f>
        <v/>
      </c>
      <c r="F22" s="887"/>
      <c r="G22" s="887"/>
    </row>
    <row r="23" spans="1:11" x14ac:dyDescent="0.2">
      <c r="E23" s="887" t="str">
        <f>IF(MASTERSWITCH=1,"PLEASE PURCHASE LICENSE TO","")</f>
        <v/>
      </c>
      <c r="F23" s="887"/>
      <c r="G23" s="887"/>
    </row>
    <row r="24" spans="1:11" x14ac:dyDescent="0.2">
      <c r="E24" s="887" t="str">
        <f>IF(MASTERSWITCH=1,"CONTINUE USING THIS PROGRAM","")</f>
        <v/>
      </c>
      <c r="F24" s="887"/>
      <c r="G24" s="887"/>
    </row>
    <row r="25" spans="1:11" x14ac:dyDescent="0.2">
      <c r="B25" s="25" t="s">
        <v>285</v>
      </c>
    </row>
    <row r="26" spans="1:11" x14ac:dyDescent="0.2">
      <c r="B26" s="982" t="s">
        <v>283</v>
      </c>
      <c r="C26" s="982"/>
      <c r="D26" s="982"/>
    </row>
    <row r="27" spans="1:11" ht="15" x14ac:dyDescent="0.25">
      <c r="J27" s="183"/>
      <c r="K27" s="60"/>
    </row>
    <row r="28" spans="1:11" ht="14.25" x14ac:dyDescent="0.2">
      <c r="B28" s="633"/>
      <c r="J28" s="177"/>
    </row>
  </sheetData>
  <sheetProtection password="D809" sheet="1" objects="1" scenarios="1" selectLockedCells="1"/>
  <mergeCells count="10">
    <mergeCell ref="B15:C15"/>
    <mergeCell ref="K6:L6"/>
    <mergeCell ref="K7:L7"/>
    <mergeCell ref="B16:H16"/>
    <mergeCell ref="B26:D26"/>
    <mergeCell ref="B21:H21"/>
    <mergeCell ref="E22:G22"/>
    <mergeCell ref="E23:G23"/>
    <mergeCell ref="E24:G24"/>
    <mergeCell ref="A22:C22"/>
  </mergeCells>
  <phoneticPr fontId="15" type="noConversion"/>
  <conditionalFormatting sqref="K6 B14 J3 B7 B9 B11 E14 E2 F17 J27 L12">
    <cfRule type="expression" dxfId="13" priority="1" stopIfTrue="1">
      <formula>(MASTERSWITCH=1)</formula>
    </cfRule>
  </conditionalFormatting>
  <conditionalFormatting sqref="B21:H21">
    <cfRule type="cellIs" dxfId="12" priority="2" stopIfTrue="1" operator="equal">
      <formula>"NOTE: Anchor image is shown above - the CHAIN shackle selected is slightly different"</formula>
    </cfRule>
  </conditionalFormatting>
  <conditionalFormatting sqref="E22:E24">
    <cfRule type="expression" dxfId="11" priority="3" stopIfTrue="1">
      <formula>(MASTERSWITCH=1)</formula>
    </cfRule>
  </conditionalFormatting>
  <hyperlinks>
    <hyperlink ref="A22:B22" location="data_shackle!D78" display="Custom Shackle values"/>
    <hyperlink ref="A22:C22" location="data_shackle!D78" tooltip="Modify Custom Values" display="Change custom shackle values"/>
  </hyperlinks>
  <printOptions horizontalCentered="1"/>
  <pageMargins left="0.75" right="0.75" top="1.75" bottom="1.5" header="0.5" footer="0.5"/>
  <pageSetup scale="75" orientation="portrait" horizontalDpi="0" verticalDpi="0" r:id="rId1"/>
  <headerFooter alignWithMargins="0">
    <oddHeader>&amp;L&amp;G&amp;R&amp;G</oddHeader>
    <oddFooter>&amp;L&amp;G&amp;R&amp;D
&amp;T</oddFooter>
  </headerFooter>
  <ignoredErrors>
    <ignoredError sqref="E19" unlocked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4039" r:id="rId5" name="Drop Down 7">
              <controlPr locked="0" defaultSize="0" autoLine="0" autoPict="0">
                <anchor moveWithCells="1">
                  <from>
                    <xdr:col>1</xdr:col>
                    <xdr:colOff>676275</xdr:colOff>
                    <xdr:row>17</xdr:row>
                    <xdr:rowOff>142875</xdr:rowOff>
                  </from>
                  <to>
                    <xdr:col>6</xdr:col>
                    <xdr:colOff>0</xdr:colOff>
                    <xdr:row>19</xdr:row>
                    <xdr:rowOff>19050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pageSetUpPr fitToPage="1"/>
  </sheetPr>
  <dimension ref="A1:M30"/>
  <sheetViews>
    <sheetView showRowColHeaders="0" workbookViewId="0"/>
  </sheetViews>
  <sheetFormatPr defaultRowHeight="12.75" x14ac:dyDescent="0.2"/>
  <cols>
    <col min="1" max="1" width="14.7109375" style="25" customWidth="1"/>
    <col min="2" max="2" width="10.28515625" style="25" customWidth="1"/>
    <col min="3" max="7" width="9.140625" style="25"/>
    <col min="8" max="9" width="10.5703125" style="25" customWidth="1"/>
    <col min="10" max="10" width="12.85546875" style="25" bestFit="1" customWidth="1"/>
    <col min="11" max="11" width="9.140625" style="25"/>
    <col min="12" max="12" width="10.28515625" style="25" customWidth="1"/>
    <col min="13" max="16384" width="9.140625" style="25"/>
  </cols>
  <sheetData>
    <row r="1" spans="1:13" ht="13.5" thickBot="1" x14ac:dyDescent="0.25">
      <c r="A1" s="35"/>
      <c r="B1"/>
    </row>
    <row r="2" spans="1:13" ht="16.5" thickBot="1" x14ac:dyDescent="0.3">
      <c r="E2" s="595">
        <f>LOOKUP(C19,data_shackle!S23:S33,data_shackle!K23:K33)</f>
        <v>2.5</v>
      </c>
      <c r="F2" s="595">
        <f>LOOKUP(C19,data_shackle!S23:S33,data_shackle!L23:L33)</f>
        <v>0</v>
      </c>
    </row>
    <row r="5" spans="1:13" ht="16.5" customHeight="1" x14ac:dyDescent="0.2"/>
    <row r="6" spans="1:13" ht="13.5" thickBot="1" x14ac:dyDescent="0.25"/>
    <row r="7" spans="1:13" ht="16.5" thickBot="1" x14ac:dyDescent="0.3">
      <c r="B7" s="594">
        <f>LOOKUP(C19,data_shackle!S23:S33,data_shackle!M23:M33)</f>
        <v>1.62</v>
      </c>
    </row>
    <row r="8" spans="1:13" ht="13.5" thickBot="1" x14ac:dyDescent="0.25"/>
    <row r="9" spans="1:13" ht="16.5" thickBot="1" x14ac:dyDescent="0.3">
      <c r="B9" s="595">
        <f>LOOKUP(C19,data_shackle!S23:S33,data_shackle!O23:O33)</f>
        <v>0</v>
      </c>
    </row>
    <row r="10" spans="1:13" ht="13.5" thickBot="1" x14ac:dyDescent="0.25"/>
    <row r="11" spans="1:13" ht="16.5" thickBot="1" x14ac:dyDescent="0.3">
      <c r="B11" s="594">
        <f>LOOKUP(C19,data_shackle!S23:S33,data_shackle!J23:J33)</f>
        <v>0.75</v>
      </c>
    </row>
    <row r="13" spans="1:13" ht="13.5" thickBot="1" x14ac:dyDescent="0.25"/>
    <row r="14" spans="1:13" ht="16.5" thickBot="1" x14ac:dyDescent="0.3">
      <c r="E14" s="594">
        <f>LOOKUP(C19,data_shackle!S23:S33,data_shackle!I23:I33)</f>
        <v>1.06</v>
      </c>
      <c r="L14" s="183"/>
      <c r="M14" s="60"/>
    </row>
    <row r="15" spans="1:13" ht="12.75" customHeight="1" x14ac:dyDescent="0.2">
      <c r="L15" s="177"/>
    </row>
    <row r="16" spans="1:13" ht="18.75" customHeight="1" x14ac:dyDescent="0.2">
      <c r="B16" s="981" t="str">
        <f>LOOKUP(C19,data_shackle!S23:S33,data_shackle!B23:B33)</f>
        <v>Crosby® S-281 Sling Saver Web 2" (RS# 2) WLL:  3-1/4 (t)</v>
      </c>
      <c r="C16" s="981"/>
      <c r="D16" s="981"/>
      <c r="E16" s="981"/>
      <c r="F16" s="981"/>
      <c r="G16" s="981"/>
      <c r="H16" s="981"/>
    </row>
    <row r="17" spans="1:11" x14ac:dyDescent="0.2">
      <c r="B17" s="176" t="s">
        <v>280</v>
      </c>
      <c r="C17" s="596">
        <f>LOOKUP(C19,data_shackle!S23:S33,data_shackle!G23:G33)</f>
        <v>1021048</v>
      </c>
      <c r="D17" s="173"/>
      <c r="E17" s="174" t="s">
        <v>281</v>
      </c>
      <c r="F17" s="180">
        <f>LOOKUP(C19,data_shackle!S23:S33,data_shackle!H23:H33)</f>
        <v>1.2</v>
      </c>
      <c r="G17" s="175" t="s">
        <v>282</v>
      </c>
      <c r="H17" s="173"/>
    </row>
    <row r="19" spans="1:11" x14ac:dyDescent="0.2">
      <c r="C19" s="35">
        <v>1</v>
      </c>
      <c r="E19" s="35"/>
      <c r="F19" s="885" t="str">
        <f>LOOKUP(C19,data_shackle!S23:S33,data_shackle!E23:E33)</f>
        <v>Web 2" (RS# 2)</v>
      </c>
      <c r="G19" s="885"/>
    </row>
    <row r="21" spans="1:11" ht="15" x14ac:dyDescent="0.25">
      <c r="B21" s="834" t="s">
        <v>1306</v>
      </c>
      <c r="C21" s="834"/>
      <c r="D21" s="834"/>
      <c r="E21" s="834"/>
      <c r="F21" s="597"/>
      <c r="G21" s="597"/>
      <c r="H21" s="597"/>
      <c r="I21" s="183">
        <f>LOOKUP(C19,data_shackle!S23:S33,data_shackle!U23:U33)</f>
        <v>6500</v>
      </c>
      <c r="J21" s="60" t="s">
        <v>284</v>
      </c>
    </row>
    <row r="22" spans="1:11" ht="14.25" x14ac:dyDescent="0.2">
      <c r="B22" s="25" t="s">
        <v>285</v>
      </c>
      <c r="I22" s="184" t="str">
        <f>CONCATENATE((I21/2000)," tons WLL")</f>
        <v>3.25 tons WLL</v>
      </c>
    </row>
    <row r="23" spans="1:11" x14ac:dyDescent="0.2">
      <c r="B23" s="982" t="s">
        <v>283</v>
      </c>
      <c r="C23" s="982"/>
      <c r="D23" s="982"/>
    </row>
    <row r="27" spans="1:11" ht="15" x14ac:dyDescent="0.25">
      <c r="J27" s="183"/>
      <c r="K27" s="60"/>
    </row>
    <row r="28" spans="1:11" ht="14.25" x14ac:dyDescent="0.2">
      <c r="B28" s="887" t="str">
        <f>IF(MASTERSWITCH=1,"EVALUATION PERIOD EXPIRED!","")</f>
        <v/>
      </c>
      <c r="C28" s="887"/>
      <c r="D28" s="887"/>
      <c r="J28" s="177"/>
    </row>
    <row r="29" spans="1:11" x14ac:dyDescent="0.2">
      <c r="A29" s="633"/>
      <c r="B29" s="887" t="str">
        <f>IF(MASTERSWITCH=1,"PLEASE PURCHASE LICENSE TO","")</f>
        <v/>
      </c>
      <c r="C29" s="887"/>
      <c r="D29" s="887"/>
    </row>
    <row r="30" spans="1:11" x14ac:dyDescent="0.2">
      <c r="B30" s="887" t="str">
        <f>IF(MASTERSWITCH=1,"CONTINUE USING THIS PROGRAM","")</f>
        <v/>
      </c>
      <c r="C30" s="887"/>
      <c r="D30" s="887"/>
    </row>
  </sheetData>
  <sheetProtection password="D809" sheet="1" objects="1" scenarios="1" selectLockedCells="1"/>
  <mergeCells count="7">
    <mergeCell ref="B28:D28"/>
    <mergeCell ref="B29:D29"/>
    <mergeCell ref="B30:D30"/>
    <mergeCell ref="B16:H16"/>
    <mergeCell ref="B23:D23"/>
    <mergeCell ref="F19:G19"/>
    <mergeCell ref="B21:E21"/>
  </mergeCells>
  <phoneticPr fontId="15" type="noConversion"/>
  <conditionalFormatting sqref="B21:H21">
    <cfRule type="cellIs" dxfId="10" priority="1" stopIfTrue="1" operator="equal">
      <formula>"NOTE: Anchor image is shown above - the CHAIN shackle selected is slightly different"</formula>
    </cfRule>
  </conditionalFormatting>
  <conditionalFormatting sqref="B28:B30">
    <cfRule type="expression" dxfId="9" priority="2" stopIfTrue="1">
      <formula>(MASTERSWITCH=1)</formula>
    </cfRule>
  </conditionalFormatting>
  <conditionalFormatting sqref="B7 B9 B11 E14 E2:F2 I21:I22">
    <cfRule type="expression" dxfId="8" priority="3" stopIfTrue="1">
      <formula>(MASTERSWITCH=1)</formula>
    </cfRule>
  </conditionalFormatting>
  <hyperlinks>
    <hyperlink ref="B21:E21" location="'Synthetic Slings'!A1" display="See RS sizes and typical color codings"/>
  </hyperlinks>
  <printOptions horizontalCentered="1"/>
  <pageMargins left="0.75" right="0.75" top="1.75" bottom="1.5" header="0.5" footer="0.5"/>
  <pageSetup scale="85" orientation="portrait" horizontalDpi="0" verticalDpi="0"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8610" r:id="rId5" name="Drop Down 2">
              <controlPr locked="0" defaultSize="0" autoLine="0" autoPict="0">
                <anchor moveWithCells="1">
                  <from>
                    <xdr:col>1</xdr:col>
                    <xdr:colOff>28575</xdr:colOff>
                    <xdr:row>18</xdr:row>
                    <xdr:rowOff>0</xdr:rowOff>
                  </from>
                  <to>
                    <xdr:col>4</xdr:col>
                    <xdr:colOff>581025</xdr:colOff>
                    <xdr:row>19</xdr:row>
                    <xdr:rowOff>38100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M28"/>
  <sheetViews>
    <sheetView showRowColHeaders="0" workbookViewId="0"/>
  </sheetViews>
  <sheetFormatPr defaultRowHeight="12.75" x14ac:dyDescent="0.2"/>
  <cols>
    <col min="1" max="1" width="14.85546875" style="25" customWidth="1"/>
    <col min="2" max="2" width="10.28515625" style="25" customWidth="1"/>
    <col min="3" max="7" width="9.140625" style="25"/>
    <col min="8" max="8" width="11.5703125" style="25" customWidth="1"/>
    <col min="9" max="9" width="8.140625" style="25" customWidth="1"/>
    <col min="10" max="10" width="12.85546875" style="25" bestFit="1" customWidth="1"/>
    <col min="11" max="11" width="5.42578125" style="25" customWidth="1"/>
    <col min="12" max="12" width="11.7109375" style="25" customWidth="1"/>
    <col min="13" max="16384" width="9.140625" style="25"/>
  </cols>
  <sheetData>
    <row r="1" spans="1:13" ht="13.5" thickBot="1" x14ac:dyDescent="0.25">
      <c r="A1" s="35"/>
      <c r="B1"/>
    </row>
    <row r="2" spans="1:13" ht="16.5" thickBot="1" x14ac:dyDescent="0.3">
      <c r="E2" s="182">
        <f>LOOKUP(C19,data_shackle!A63:A83,data_shackle!L63:L83)</f>
        <v>1.75</v>
      </c>
    </row>
    <row r="5" spans="1:13" ht="16.5" customHeight="1" x14ac:dyDescent="0.2"/>
    <row r="6" spans="1:13" ht="13.5" thickBot="1" x14ac:dyDescent="0.25"/>
    <row r="7" spans="1:13" ht="16.5" thickBot="1" x14ac:dyDescent="0.3">
      <c r="B7" s="181">
        <f>LOOKUP(C19,data_shackle!A63:A83,data_shackle!K63:K83)</f>
        <v>1.75</v>
      </c>
    </row>
    <row r="8" spans="1:13" ht="13.5" thickBot="1" x14ac:dyDescent="0.25"/>
    <row r="9" spans="1:13" ht="16.5" thickBot="1" x14ac:dyDescent="0.3">
      <c r="B9" s="182">
        <f>LOOKUP(C19,data_shackle!A63:A83,data_shackle!P63:P83)</f>
        <v>3.75</v>
      </c>
      <c r="H9" s="183">
        <f>LOOKUP(C19,data_shackle!A63:A83,data_shackle!U63:U83)</f>
        <v>88160</v>
      </c>
      <c r="I9" s="60" t="s">
        <v>284</v>
      </c>
    </row>
    <row r="10" spans="1:13" ht="13.5" thickBot="1" x14ac:dyDescent="0.25">
      <c r="H10" s="987" t="str">
        <f>CONCATENATE((H9/2000)," US tons")</f>
        <v>44.08 US tons</v>
      </c>
      <c r="I10" s="987"/>
    </row>
    <row r="11" spans="1:13" ht="16.5" thickBot="1" x14ac:dyDescent="0.3">
      <c r="B11" s="181">
        <f>LOOKUP(C19,data_shackle!A63:A83,data_shackle!J63:J83)</f>
        <v>2</v>
      </c>
      <c r="H11" s="988" t="str">
        <f>CONCATENATE((H9/2204)," metric tons")</f>
        <v>40 metric tons</v>
      </c>
      <c r="I11" s="988"/>
    </row>
    <row r="13" spans="1:13" ht="13.5" thickBot="1" x14ac:dyDescent="0.25"/>
    <row r="14" spans="1:13" ht="16.5" thickBot="1" x14ac:dyDescent="0.3">
      <c r="E14" s="181">
        <f>LOOKUP(C19,data_shackle!A63:A83,data_shackle!I63:I83)</f>
        <v>9.32</v>
      </c>
      <c r="L14" s="183"/>
      <c r="M14" s="60"/>
    </row>
    <row r="15" spans="1:13" ht="12.75" customHeight="1" x14ac:dyDescent="0.2">
      <c r="B15" s="989" t="s">
        <v>283</v>
      </c>
      <c r="C15" s="989"/>
      <c r="D15" s="989"/>
      <c r="E15" s="989"/>
      <c r="L15" s="626"/>
    </row>
    <row r="16" spans="1:13" ht="18.75" customHeight="1" x14ac:dyDescent="0.2">
      <c r="B16" s="981" t="str">
        <f>LOOKUP(C19,data_shackle!A63:A83,data_shackle!B63:B83)</f>
        <v>Crosby® Wide Body G-2160  -  40 (metric ton) Shackle</v>
      </c>
      <c r="C16" s="981"/>
      <c r="D16" s="981"/>
      <c r="E16" s="981"/>
      <c r="F16" s="981"/>
      <c r="G16" s="981"/>
      <c r="H16" s="981"/>
    </row>
    <row r="17" spans="2:11" ht="15" x14ac:dyDescent="0.25">
      <c r="B17" s="176" t="s">
        <v>280</v>
      </c>
      <c r="C17" s="179">
        <f>LOOKUP(C19,data_shackle!A63:A83,data_shackle!G63:G83)</f>
        <v>1021584</v>
      </c>
      <c r="D17" s="173"/>
      <c r="E17" s="174" t="s">
        <v>281</v>
      </c>
      <c r="F17" s="832">
        <f>LOOKUP(C19,data_shackle!A63:A83,data_shackle!H63:H83)</f>
        <v>35</v>
      </c>
      <c r="G17" s="175" t="s">
        <v>282</v>
      </c>
      <c r="H17" s="173"/>
    </row>
    <row r="19" spans="2:11" x14ac:dyDescent="0.2">
      <c r="C19" s="35">
        <v>2</v>
      </c>
      <c r="E19" s="35">
        <f>LOOKUP(C19,data_shackle!A63:A83,data_shackle!C63:C83)</f>
        <v>61</v>
      </c>
    </row>
    <row r="21" spans="2:11" ht="20.25" x14ac:dyDescent="0.3">
      <c r="B21" s="986" t="str">
        <f>IF(E19=2,"CUSTOM SHACKLE VALUES","Crosby® Wide Body Shackles")</f>
        <v>Crosby® Wide Body Shackles</v>
      </c>
      <c r="C21" s="986"/>
      <c r="D21" s="986"/>
      <c r="E21" s="986"/>
      <c r="F21" s="986"/>
      <c r="G21" s="986"/>
      <c r="H21" s="986"/>
    </row>
    <row r="23" spans="2:11" x14ac:dyDescent="0.2">
      <c r="B23" s="985"/>
      <c r="C23" s="985"/>
      <c r="D23" s="985"/>
    </row>
    <row r="25" spans="2:11" x14ac:dyDescent="0.2">
      <c r="B25" s="25" t="s">
        <v>285</v>
      </c>
    </row>
    <row r="26" spans="2:11" x14ac:dyDescent="0.2">
      <c r="B26" s="887" t="str">
        <f>IF(MASTERSWITCH=1,"EVALUATION PERIOD EXPIRED!","")</f>
        <v/>
      </c>
      <c r="C26" s="887"/>
      <c r="D26" s="887"/>
    </row>
    <row r="27" spans="2:11" ht="15" x14ac:dyDescent="0.25">
      <c r="B27" s="887" t="str">
        <f>IF(MASTERSWITCH=1,"PLEASE PURCHASE LICENSE TO","")</f>
        <v/>
      </c>
      <c r="C27" s="887"/>
      <c r="D27" s="887"/>
      <c r="J27" s="183"/>
      <c r="K27" s="60"/>
    </row>
    <row r="28" spans="2:11" x14ac:dyDescent="0.2">
      <c r="B28" s="887" t="str">
        <f>IF(MASTERSWITCH=1,"CONTINUE USING THIS PROGRAM","")</f>
        <v/>
      </c>
      <c r="C28" s="887"/>
      <c r="D28" s="887"/>
      <c r="J28" s="627"/>
    </row>
  </sheetData>
  <sheetProtection password="D809" sheet="1" objects="1" scenarios="1" selectLockedCells="1"/>
  <mergeCells count="9">
    <mergeCell ref="H10:I10"/>
    <mergeCell ref="H11:I11"/>
    <mergeCell ref="B15:E15"/>
    <mergeCell ref="B26:D26"/>
    <mergeCell ref="B27:D27"/>
    <mergeCell ref="B28:D28"/>
    <mergeCell ref="B23:D23"/>
    <mergeCell ref="B16:H16"/>
    <mergeCell ref="B21:H21"/>
  </mergeCells>
  <phoneticPr fontId="15" type="noConversion"/>
  <conditionalFormatting sqref="H9 B7 B9 B11 E2 E14 L14 J27">
    <cfRule type="expression" dxfId="7" priority="1" stopIfTrue="1">
      <formula>(MASTERSWITCH=1)</formula>
    </cfRule>
  </conditionalFormatting>
  <conditionalFormatting sqref="B21:H21">
    <cfRule type="cellIs" dxfId="6" priority="2" stopIfTrue="1" operator="equal">
      <formula>"Crosby® Wide Body Shackles"</formula>
    </cfRule>
  </conditionalFormatting>
  <conditionalFormatting sqref="B26:B28">
    <cfRule type="expression" dxfId="5" priority="3" stopIfTrue="1">
      <formula>(MASTERSWITCH=1)</formula>
    </cfRule>
  </conditionalFormatting>
  <printOptions horizontalCentered="1"/>
  <pageMargins left="0.75" right="0.75" top="1.75" bottom="1.75" header="0.5" footer="0.5"/>
  <pageSetup scale="72" orientation="portrait" horizontalDpi="0" verticalDpi="0" r:id="rId1"/>
  <headerFooter alignWithMargins="0">
    <oddHeader>&amp;L&amp;G&amp;R&amp;G</oddHeader>
    <oddFooter>&amp;L&amp;G&amp;R&amp;D
&amp;T</oddFooter>
  </headerFooter>
  <ignoredErrors>
    <ignoredError sqref="E19" unlocked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5061" r:id="rId5" name="Drop Down 5">
              <controlPr locked="0" defaultSize="0" autoLine="0" autoPict="0">
                <anchor moveWithCells="1">
                  <from>
                    <xdr:col>2</xdr:col>
                    <xdr:colOff>114300</xdr:colOff>
                    <xdr:row>17</xdr:row>
                    <xdr:rowOff>142875</xdr:rowOff>
                  </from>
                  <to>
                    <xdr:col>6</xdr:col>
                    <xdr:colOff>123825</xdr:colOff>
                    <xdr:row>19</xdr:row>
                    <xdr:rowOff>19050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R83"/>
  <sheetViews>
    <sheetView workbookViewId="0">
      <selection activeCell="F19" sqref="F19"/>
    </sheetView>
  </sheetViews>
  <sheetFormatPr defaultRowHeight="12.75" x14ac:dyDescent="0.2"/>
  <cols>
    <col min="1" max="1" width="3.42578125" bestFit="1" customWidth="1"/>
    <col min="2" max="2" width="8.5703125" customWidth="1"/>
    <col min="3" max="3" width="12.85546875" customWidth="1"/>
    <col min="5" max="5" width="10.5703125" bestFit="1" customWidth="1"/>
    <col min="6" max="6" width="11.42578125" bestFit="1" customWidth="1"/>
    <col min="10" max="10" width="67.7109375" bestFit="1" customWidth="1"/>
    <col min="11" max="11" width="9.7109375" bestFit="1" customWidth="1"/>
    <col min="13" max="13" width="10" bestFit="1" customWidth="1"/>
    <col min="15" max="15" width="9.7109375" bestFit="1" customWidth="1"/>
    <col min="19" max="19" width="16" customWidth="1"/>
    <col min="20" max="20" width="24.140625" customWidth="1"/>
  </cols>
  <sheetData>
    <row r="1" spans="1:3" x14ac:dyDescent="0.2">
      <c r="B1" s="24" t="s">
        <v>2077</v>
      </c>
    </row>
    <row r="5" spans="1:3" x14ac:dyDescent="0.2">
      <c r="A5" s="8" t="s">
        <v>700</v>
      </c>
      <c r="B5" s="105" t="s">
        <v>2088</v>
      </c>
      <c r="C5" s="105" t="s">
        <v>2089</v>
      </c>
    </row>
    <row r="6" spans="1:3" x14ac:dyDescent="0.2">
      <c r="A6" s="7">
        <v>1</v>
      </c>
      <c r="B6" s="2" t="s">
        <v>1071</v>
      </c>
      <c r="C6" s="374">
        <v>11.49</v>
      </c>
    </row>
    <row r="7" spans="1:3" x14ac:dyDescent="0.2">
      <c r="A7" s="7">
        <v>2</v>
      </c>
      <c r="B7" s="2" t="s">
        <v>1072</v>
      </c>
      <c r="C7" s="374">
        <v>5.75</v>
      </c>
    </row>
    <row r="8" spans="1:3" x14ac:dyDescent="0.2">
      <c r="A8" s="7">
        <v>3</v>
      </c>
      <c r="B8" s="2" t="s">
        <v>1073</v>
      </c>
      <c r="C8" s="374">
        <v>3.8610000000000002</v>
      </c>
    </row>
    <row r="9" spans="1:3" x14ac:dyDescent="0.2">
      <c r="A9" s="7">
        <v>4</v>
      </c>
      <c r="B9" s="2" t="s">
        <v>1074</v>
      </c>
      <c r="C9" s="374">
        <v>2.9239999999999999</v>
      </c>
    </row>
    <row r="10" spans="1:3" x14ac:dyDescent="0.2">
      <c r="A10" s="7">
        <v>5</v>
      </c>
      <c r="B10" s="2" t="s">
        <v>1075</v>
      </c>
      <c r="C10" s="374">
        <v>2.3639999999999999</v>
      </c>
    </row>
    <row r="11" spans="1:3" x14ac:dyDescent="0.2">
      <c r="A11" s="7">
        <v>6</v>
      </c>
      <c r="B11" s="2" t="s">
        <v>1076</v>
      </c>
      <c r="C11" s="374">
        <v>2</v>
      </c>
    </row>
    <row r="12" spans="1:3" x14ac:dyDescent="0.2">
      <c r="A12" s="7">
        <v>7</v>
      </c>
      <c r="B12" s="2" t="s">
        <v>1077</v>
      </c>
      <c r="C12" s="374">
        <v>1.742</v>
      </c>
    </row>
    <row r="13" spans="1:3" x14ac:dyDescent="0.2">
      <c r="A13" s="7">
        <v>8</v>
      </c>
      <c r="B13" s="2" t="s">
        <v>1078</v>
      </c>
      <c r="C13" s="374">
        <v>1.5549999999999999</v>
      </c>
    </row>
    <row r="14" spans="1:3" x14ac:dyDescent="0.2">
      <c r="A14" s="7">
        <v>9</v>
      </c>
      <c r="B14" s="2" t="s">
        <v>1079</v>
      </c>
      <c r="C14" s="374">
        <v>1.4139999999999999</v>
      </c>
    </row>
    <row r="15" spans="1:3" x14ac:dyDescent="0.2">
      <c r="A15" s="7">
        <v>10</v>
      </c>
      <c r="B15" s="2" t="s">
        <v>1080</v>
      </c>
      <c r="C15" s="374">
        <v>1.3049999999999999</v>
      </c>
    </row>
    <row r="16" spans="1:3" x14ac:dyDescent="0.2">
      <c r="A16" s="7">
        <v>11</v>
      </c>
      <c r="B16" s="2" t="s">
        <v>1081</v>
      </c>
      <c r="C16" s="374">
        <v>1.2210000000000001</v>
      </c>
    </row>
    <row r="17" spans="1:6" x14ac:dyDescent="0.2">
      <c r="A17" s="7">
        <v>12</v>
      </c>
      <c r="B17" s="2" t="s">
        <v>1082</v>
      </c>
      <c r="C17" s="374">
        <v>1.155</v>
      </c>
    </row>
    <row r="18" spans="1:6" x14ac:dyDescent="0.2">
      <c r="A18" s="7">
        <v>13</v>
      </c>
      <c r="B18" s="2" t="s">
        <v>1946</v>
      </c>
      <c r="C18" s="374">
        <v>1.1040000000000001</v>
      </c>
    </row>
    <row r="19" spans="1:6" x14ac:dyDescent="0.2">
      <c r="A19" s="7">
        <v>14</v>
      </c>
      <c r="B19" s="2" t="s">
        <v>1947</v>
      </c>
      <c r="C19" s="374">
        <v>1.0640000000000001</v>
      </c>
    </row>
    <row r="20" spans="1:6" x14ac:dyDescent="0.2">
      <c r="A20" s="7">
        <v>15</v>
      </c>
      <c r="B20" s="2" t="s">
        <v>1948</v>
      </c>
      <c r="C20" s="374">
        <v>1.0349999999999999</v>
      </c>
    </row>
    <row r="21" spans="1:6" x14ac:dyDescent="0.2">
      <c r="A21" s="7">
        <v>16</v>
      </c>
      <c r="B21" s="2" t="s">
        <v>1949</v>
      </c>
      <c r="C21" s="374">
        <v>1.0149999999999999</v>
      </c>
    </row>
    <row r="22" spans="1:6" x14ac:dyDescent="0.2">
      <c r="A22" s="7">
        <v>17</v>
      </c>
      <c r="B22" s="2" t="s">
        <v>1950</v>
      </c>
      <c r="C22" s="374">
        <v>1.004</v>
      </c>
    </row>
    <row r="23" spans="1:6" x14ac:dyDescent="0.2">
      <c r="A23" s="7">
        <v>18</v>
      </c>
      <c r="B23" s="2" t="s">
        <v>1951</v>
      </c>
      <c r="C23" s="374">
        <v>1</v>
      </c>
    </row>
    <row r="27" spans="1:6" x14ac:dyDescent="0.2">
      <c r="B27" s="202"/>
      <c r="C27" s="70"/>
      <c r="D27" s="70"/>
      <c r="E27" s="70"/>
      <c r="F27" s="70"/>
    </row>
    <row r="28" spans="1:6" x14ac:dyDescent="0.2">
      <c r="B28" s="255"/>
      <c r="C28" s="255"/>
      <c r="D28" s="255"/>
      <c r="E28" s="255"/>
      <c r="F28" s="255"/>
    </row>
    <row r="29" spans="1:6" x14ac:dyDescent="0.2">
      <c r="B29" s="257"/>
      <c r="C29" s="257"/>
      <c r="D29" s="70"/>
      <c r="E29" s="70"/>
      <c r="F29" s="70"/>
    </row>
    <row r="30" spans="1:6" x14ac:dyDescent="0.2">
      <c r="B30" s="257"/>
      <c r="C30" s="257"/>
      <c r="D30" s="70"/>
      <c r="E30" s="70"/>
      <c r="F30" s="70"/>
    </row>
    <row r="31" spans="1:6" x14ac:dyDescent="0.2">
      <c r="B31" s="257"/>
      <c r="C31" s="257"/>
      <c r="D31" s="70"/>
      <c r="E31" s="70"/>
      <c r="F31" s="70"/>
    </row>
    <row r="32" spans="1:6" x14ac:dyDescent="0.2">
      <c r="B32" s="257"/>
      <c r="C32" s="257"/>
      <c r="D32" s="70"/>
      <c r="E32" s="70"/>
      <c r="F32" s="70"/>
    </row>
    <row r="33" spans="2:6" x14ac:dyDescent="0.2">
      <c r="B33" s="257"/>
      <c r="C33" s="257"/>
      <c r="D33" s="70"/>
      <c r="E33" s="70"/>
      <c r="F33" s="70"/>
    </row>
    <row r="34" spans="2:6" x14ac:dyDescent="0.2">
      <c r="B34" s="257"/>
      <c r="C34" s="257"/>
      <c r="D34" s="70"/>
      <c r="E34" s="70"/>
      <c r="F34" s="70"/>
    </row>
    <row r="35" spans="2:6" x14ac:dyDescent="0.2">
      <c r="B35" s="257"/>
      <c r="C35" s="257"/>
      <c r="D35" s="70"/>
      <c r="E35" s="70"/>
      <c r="F35" s="70"/>
    </row>
    <row r="36" spans="2:6" x14ac:dyDescent="0.2">
      <c r="B36" s="257"/>
      <c r="C36" s="257"/>
      <c r="D36" s="70"/>
      <c r="E36" s="70"/>
      <c r="F36" s="70"/>
    </row>
    <row r="37" spans="2:6" x14ac:dyDescent="0.2">
      <c r="B37" s="257"/>
      <c r="C37" s="257"/>
      <c r="D37" s="70"/>
      <c r="E37" s="70"/>
      <c r="F37" s="70"/>
    </row>
    <row r="38" spans="2:6" x14ac:dyDescent="0.2">
      <c r="B38" s="257"/>
      <c r="C38" s="257"/>
      <c r="D38" s="70"/>
      <c r="E38" s="70"/>
      <c r="F38" s="70"/>
    </row>
    <row r="39" spans="2:6" x14ac:dyDescent="0.2">
      <c r="B39" s="257"/>
      <c r="C39" s="257"/>
      <c r="D39" s="70"/>
      <c r="E39" s="70"/>
      <c r="F39" s="70"/>
    </row>
    <row r="40" spans="2:6" x14ac:dyDescent="0.2">
      <c r="B40" s="257"/>
      <c r="C40" s="257"/>
      <c r="D40" s="70"/>
      <c r="E40" s="70"/>
      <c r="F40" s="70"/>
    </row>
    <row r="41" spans="2:6" x14ac:dyDescent="0.2">
      <c r="B41" s="257"/>
      <c r="C41" s="257"/>
      <c r="D41" s="70"/>
      <c r="E41" s="70"/>
      <c r="F41" s="70"/>
    </row>
    <row r="42" spans="2:6" x14ac:dyDescent="0.2">
      <c r="B42" s="257"/>
      <c r="C42" s="257"/>
      <c r="D42" s="70"/>
      <c r="E42" s="70"/>
      <c r="F42" s="70"/>
    </row>
    <row r="43" spans="2:6" x14ac:dyDescent="0.2">
      <c r="B43" s="257"/>
      <c r="C43" s="257"/>
      <c r="D43" s="70"/>
      <c r="E43" s="70"/>
      <c r="F43" s="70"/>
    </row>
    <row r="44" spans="2:6" x14ac:dyDescent="0.2">
      <c r="B44" s="257"/>
      <c r="C44" s="257"/>
      <c r="D44" s="70"/>
      <c r="E44" s="70"/>
      <c r="F44" s="70"/>
    </row>
    <row r="45" spans="2:6" x14ac:dyDescent="0.2">
      <c r="B45" s="257"/>
      <c r="C45" s="257"/>
      <c r="D45" s="70"/>
      <c r="E45" s="70"/>
      <c r="F45" s="70"/>
    </row>
    <row r="46" spans="2:6" x14ac:dyDescent="0.2">
      <c r="B46" s="257"/>
      <c r="C46" s="257"/>
      <c r="D46" s="70"/>
      <c r="E46" s="70"/>
      <c r="F46" s="70"/>
    </row>
    <row r="47" spans="2:6" x14ac:dyDescent="0.2">
      <c r="B47" s="257"/>
      <c r="C47" s="257"/>
      <c r="D47" s="70"/>
      <c r="E47" s="70"/>
      <c r="F47" s="70"/>
    </row>
    <row r="48" spans="2:6" x14ac:dyDescent="0.2">
      <c r="B48" s="257"/>
      <c r="C48" s="257"/>
      <c r="D48" s="70"/>
      <c r="E48" s="70"/>
      <c r="F48" s="70"/>
    </row>
    <row r="49" spans="2:12" x14ac:dyDescent="0.2">
      <c r="B49" s="257"/>
      <c r="C49" s="257"/>
      <c r="D49" s="70"/>
      <c r="E49" s="70"/>
      <c r="F49" s="70"/>
    </row>
    <row r="50" spans="2:12" x14ac:dyDescent="0.2">
      <c r="B50" s="257"/>
      <c r="C50" s="257"/>
      <c r="D50" s="70"/>
      <c r="E50" s="70"/>
      <c r="F50" s="70"/>
    </row>
    <row r="51" spans="2:12" x14ac:dyDescent="0.2">
      <c r="B51" s="257"/>
      <c r="C51" s="257"/>
      <c r="D51" s="70"/>
      <c r="E51" s="70"/>
      <c r="F51" s="70"/>
    </row>
    <row r="52" spans="2:12" x14ac:dyDescent="0.2">
      <c r="B52" s="257"/>
      <c r="C52" s="257"/>
      <c r="D52" s="70"/>
      <c r="E52" s="70"/>
      <c r="F52" s="70"/>
    </row>
    <row r="53" spans="2:12" x14ac:dyDescent="0.2">
      <c r="B53" s="257"/>
      <c r="C53" s="257"/>
      <c r="D53" s="70"/>
      <c r="E53" s="70"/>
      <c r="F53" s="70"/>
    </row>
    <row r="54" spans="2:12" x14ac:dyDescent="0.2">
      <c r="B54" s="257"/>
      <c r="C54" s="257"/>
      <c r="D54" s="70"/>
      <c r="E54" s="70"/>
      <c r="F54" s="70"/>
    </row>
    <row r="55" spans="2:12" x14ac:dyDescent="0.2">
      <c r="B55" s="257"/>
      <c r="C55" s="257"/>
      <c r="D55" s="70"/>
      <c r="E55" s="70"/>
      <c r="F55" s="70"/>
    </row>
    <row r="56" spans="2:12" x14ac:dyDescent="0.2">
      <c r="B56" s="257"/>
      <c r="C56" s="257"/>
      <c r="D56" s="70"/>
      <c r="E56" s="70"/>
      <c r="F56" s="70"/>
    </row>
    <row r="57" spans="2:12" x14ac:dyDescent="0.2">
      <c r="B57" s="257"/>
      <c r="C57" s="257"/>
      <c r="D57" s="70"/>
      <c r="E57" s="70"/>
      <c r="F57" s="70"/>
    </row>
    <row r="58" spans="2:12" x14ac:dyDescent="0.2">
      <c r="B58" s="257"/>
      <c r="C58" s="257"/>
      <c r="D58" s="70"/>
      <c r="E58" s="70"/>
      <c r="F58" s="70"/>
    </row>
    <row r="59" spans="2:12" x14ac:dyDescent="0.2">
      <c r="B59" s="257"/>
      <c r="C59" s="257"/>
      <c r="D59" s="70"/>
      <c r="E59" s="70"/>
      <c r="F59" s="70"/>
    </row>
    <row r="60" spans="2:12" x14ac:dyDescent="0.2">
      <c r="B60" s="257"/>
      <c r="C60" s="373"/>
      <c r="D60" s="70"/>
      <c r="E60" s="70"/>
      <c r="F60" s="70"/>
    </row>
    <row r="61" spans="2:12" x14ac:dyDescent="0.2">
      <c r="B61" s="257"/>
      <c r="C61" s="257"/>
      <c r="D61" s="70"/>
      <c r="E61" s="70"/>
      <c r="F61" s="70"/>
    </row>
    <row r="62" spans="2:12" x14ac:dyDescent="0.2">
      <c r="B62" s="257"/>
      <c r="C62" s="257"/>
      <c r="D62" s="70"/>
      <c r="E62" s="70"/>
      <c r="F62" s="70"/>
    </row>
    <row r="63" spans="2:12" x14ac:dyDescent="0.2">
      <c r="B63" s="257"/>
      <c r="C63" s="257"/>
      <c r="D63" s="70"/>
      <c r="E63" s="70"/>
      <c r="F63" s="70"/>
      <c r="L63" s="76"/>
    </row>
    <row r="64" spans="2:12" x14ac:dyDescent="0.2">
      <c r="B64" s="257"/>
      <c r="C64" s="257"/>
      <c r="D64" s="70"/>
      <c r="E64" s="70"/>
      <c r="F64" s="70"/>
    </row>
    <row r="65" spans="2:18" x14ac:dyDescent="0.2">
      <c r="B65" s="257"/>
      <c r="C65" s="257"/>
      <c r="D65" s="70"/>
      <c r="E65" s="70"/>
      <c r="F65" s="70"/>
      <c r="N65" s="81"/>
      <c r="O65" s="81"/>
      <c r="P65" s="81"/>
      <c r="Q65" s="81"/>
      <c r="R65" s="80"/>
    </row>
    <row r="66" spans="2:18" x14ac:dyDescent="0.2">
      <c r="B66" s="257"/>
      <c r="C66" s="257"/>
      <c r="D66" s="70"/>
      <c r="E66" s="70"/>
      <c r="F66" s="70"/>
      <c r="N66" s="12"/>
      <c r="O66" s="12"/>
      <c r="P66" s="12"/>
      <c r="Q66" s="80"/>
      <c r="R66" s="12"/>
    </row>
    <row r="67" spans="2:18" x14ac:dyDescent="0.2">
      <c r="B67" s="257"/>
      <c r="C67" s="257"/>
      <c r="D67" s="70"/>
      <c r="E67" s="70"/>
      <c r="F67" s="70"/>
      <c r="N67" s="12"/>
      <c r="O67" s="12"/>
      <c r="P67" s="12"/>
      <c r="Q67" s="80"/>
      <c r="R67" s="12"/>
    </row>
    <row r="68" spans="2:18" x14ac:dyDescent="0.2">
      <c r="B68" s="257"/>
      <c r="C68" s="257"/>
      <c r="D68" s="70"/>
      <c r="E68" s="70"/>
      <c r="F68" s="70"/>
      <c r="N68" s="12"/>
      <c r="O68" s="12"/>
      <c r="P68" s="12"/>
      <c r="Q68" s="80"/>
      <c r="R68" s="12"/>
    </row>
    <row r="69" spans="2:18" x14ac:dyDescent="0.2">
      <c r="B69" s="257"/>
      <c r="C69" s="257"/>
      <c r="D69" s="70"/>
      <c r="E69" s="70"/>
      <c r="F69" s="70"/>
      <c r="N69" s="12"/>
      <c r="O69" s="12"/>
      <c r="P69" s="12"/>
      <c r="Q69" s="80"/>
      <c r="R69" s="12"/>
    </row>
    <row r="70" spans="2:18" x14ac:dyDescent="0.2">
      <c r="B70" s="257"/>
      <c r="C70" s="257"/>
      <c r="D70" s="70"/>
      <c r="E70" s="70"/>
      <c r="F70" s="70"/>
      <c r="N70" s="12"/>
      <c r="O70" s="12"/>
      <c r="P70" s="12"/>
      <c r="Q70" s="80"/>
      <c r="R70" s="12"/>
    </row>
    <row r="71" spans="2:18" x14ac:dyDescent="0.2">
      <c r="B71" s="257"/>
      <c r="C71" s="257"/>
      <c r="D71" s="70"/>
      <c r="E71" s="70"/>
      <c r="F71" s="70"/>
      <c r="N71" s="12"/>
      <c r="O71" s="12"/>
      <c r="P71" s="12"/>
      <c r="Q71" s="80"/>
      <c r="R71" s="12"/>
    </row>
    <row r="72" spans="2:18" x14ac:dyDescent="0.2">
      <c r="B72" s="257"/>
      <c r="C72" s="257"/>
      <c r="D72" s="70"/>
      <c r="E72" s="70"/>
      <c r="F72" s="70"/>
      <c r="N72" s="12"/>
      <c r="O72" s="12"/>
      <c r="P72" s="12"/>
      <c r="Q72" s="80"/>
      <c r="R72" s="12"/>
    </row>
    <row r="73" spans="2:18" x14ac:dyDescent="0.2">
      <c r="B73" s="70"/>
      <c r="C73" s="70"/>
      <c r="D73" s="70"/>
      <c r="E73" s="70"/>
      <c r="F73" s="70"/>
      <c r="N73" s="12"/>
      <c r="O73" s="12"/>
      <c r="P73" s="12"/>
      <c r="Q73" s="80"/>
      <c r="R73" s="12"/>
    </row>
    <row r="74" spans="2:18" x14ac:dyDescent="0.2">
      <c r="N74" s="12"/>
      <c r="O74" s="12"/>
      <c r="P74" s="12"/>
      <c r="Q74" s="80"/>
      <c r="R74" s="12"/>
    </row>
    <row r="75" spans="2:18" x14ac:dyDescent="0.2">
      <c r="N75" s="12"/>
      <c r="O75" s="12"/>
      <c r="P75" s="12"/>
      <c r="Q75" s="80"/>
      <c r="R75" s="12"/>
    </row>
    <row r="76" spans="2:18" x14ac:dyDescent="0.2">
      <c r="N76" s="12"/>
      <c r="O76" s="12"/>
      <c r="P76" s="12"/>
      <c r="Q76" s="80"/>
      <c r="R76" s="12"/>
    </row>
    <row r="77" spans="2:18" x14ac:dyDescent="0.2">
      <c r="N77" s="12"/>
      <c r="O77" s="12"/>
      <c r="P77" s="12"/>
      <c r="Q77" s="80"/>
      <c r="R77" s="12"/>
    </row>
    <row r="78" spans="2:18" x14ac:dyDescent="0.2">
      <c r="O78" s="94"/>
      <c r="P78" s="80"/>
      <c r="Q78" s="80"/>
      <c r="R78" s="80"/>
    </row>
    <row r="79" spans="2:18" x14ac:dyDescent="0.2">
      <c r="O79" s="80"/>
      <c r="P79" s="80"/>
      <c r="Q79" s="80"/>
      <c r="R79" s="80"/>
    </row>
    <row r="80" spans="2:18" x14ac:dyDescent="0.2">
      <c r="O80" s="80"/>
      <c r="P80" s="80"/>
      <c r="Q80" s="80"/>
      <c r="R80" s="80"/>
    </row>
    <row r="81" spans="15:18" x14ac:dyDescent="0.2">
      <c r="O81" s="80"/>
      <c r="P81" s="80"/>
      <c r="Q81" s="80"/>
      <c r="R81" s="80"/>
    </row>
    <row r="82" spans="15:18" x14ac:dyDescent="0.2">
      <c r="O82" s="80"/>
      <c r="P82" s="80"/>
      <c r="Q82" s="80"/>
      <c r="R82" s="80"/>
    </row>
    <row r="83" spans="15:18" x14ac:dyDescent="0.2">
      <c r="O83" s="80"/>
      <c r="P83" s="80"/>
      <c r="Q83" s="80"/>
      <c r="R83" s="80"/>
    </row>
  </sheetData>
  <phoneticPr fontId="15" type="noConversion"/>
  <hyperlinks>
    <hyperlink ref="B1" location="INDEX!A1" display="INDEX PAGE"/>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
  <sheetViews>
    <sheetView topLeftCell="A18" workbookViewId="0">
      <selection activeCell="E19" sqref="E19"/>
    </sheetView>
  </sheetViews>
  <sheetFormatPr defaultRowHeight="12.75" x14ac:dyDescent="0.2"/>
  <cols>
    <col min="1" max="1" width="3" bestFit="1" customWidth="1"/>
    <col min="2" max="2" width="43.42578125" bestFit="1" customWidth="1"/>
    <col min="3" max="3" width="6" bestFit="1" customWidth="1"/>
  </cols>
  <sheetData>
    <row r="1" spans="1:4" x14ac:dyDescent="0.2">
      <c r="A1">
        <v>1</v>
      </c>
      <c r="B1" s="636" t="s">
        <v>1900</v>
      </c>
      <c r="C1">
        <v>0</v>
      </c>
    </row>
    <row r="2" spans="1:4" x14ac:dyDescent="0.2">
      <c r="A2">
        <v>2</v>
      </c>
      <c r="B2" t="s">
        <v>1816</v>
      </c>
      <c r="C2">
        <f>data_shackle!K5</f>
        <v>0.88</v>
      </c>
      <c r="D2">
        <f>C2*25.4/10</f>
        <v>2.2351999999999999</v>
      </c>
    </row>
    <row r="3" spans="1:4" x14ac:dyDescent="0.2">
      <c r="A3">
        <v>3</v>
      </c>
      <c r="B3" t="s">
        <v>1818</v>
      </c>
      <c r="C3">
        <f>data_shackle!K6</f>
        <v>1.1299999999999999</v>
      </c>
      <c r="D3">
        <f t="shared" ref="D3:D66" si="0">C3*25.4/10</f>
        <v>2.8701999999999996</v>
      </c>
    </row>
    <row r="4" spans="1:4" x14ac:dyDescent="0.2">
      <c r="A4">
        <v>4</v>
      </c>
      <c r="B4" t="s">
        <v>1819</v>
      </c>
      <c r="C4">
        <f>data_shackle!K7</f>
        <v>1.22</v>
      </c>
      <c r="D4">
        <f t="shared" si="0"/>
        <v>3.0987999999999998</v>
      </c>
    </row>
    <row r="5" spans="1:4" x14ac:dyDescent="0.2">
      <c r="A5">
        <v>5</v>
      </c>
      <c r="B5" t="s">
        <v>1820</v>
      </c>
      <c r="C5">
        <f>data_shackle!K8</f>
        <v>1.44</v>
      </c>
      <c r="D5">
        <f t="shared" si="0"/>
        <v>3.6575999999999995</v>
      </c>
    </row>
    <row r="6" spans="1:4" x14ac:dyDescent="0.2">
      <c r="A6">
        <v>6</v>
      </c>
      <c r="B6" t="s">
        <v>1821</v>
      </c>
      <c r="C6">
        <f>data_shackle!K9</f>
        <v>1.69</v>
      </c>
      <c r="D6">
        <f t="shared" si="0"/>
        <v>4.2925999999999993</v>
      </c>
    </row>
    <row r="7" spans="1:4" x14ac:dyDescent="0.2">
      <c r="A7">
        <v>7</v>
      </c>
      <c r="B7" t="s">
        <v>1822</v>
      </c>
      <c r="C7">
        <f>data_shackle!K10</f>
        <v>1.88</v>
      </c>
      <c r="D7">
        <f t="shared" si="0"/>
        <v>4.7751999999999999</v>
      </c>
    </row>
    <row r="8" spans="1:4" x14ac:dyDescent="0.2">
      <c r="A8">
        <v>8</v>
      </c>
      <c r="B8" t="s">
        <v>1823</v>
      </c>
      <c r="C8">
        <f>data_shackle!K11</f>
        <v>2.38</v>
      </c>
      <c r="D8">
        <f t="shared" si="0"/>
        <v>6.0451999999999995</v>
      </c>
    </row>
    <row r="9" spans="1:4" x14ac:dyDescent="0.2">
      <c r="A9">
        <v>9</v>
      </c>
      <c r="B9" t="s">
        <v>1824</v>
      </c>
      <c r="C9">
        <f>data_shackle!K12</f>
        <v>2.81</v>
      </c>
      <c r="D9">
        <f t="shared" si="0"/>
        <v>7.1373999999999995</v>
      </c>
    </row>
    <row r="10" spans="1:4" x14ac:dyDescent="0.2">
      <c r="A10">
        <v>10</v>
      </c>
      <c r="B10" t="s">
        <v>1825</v>
      </c>
      <c r="C10">
        <f>data_shackle!K13</f>
        <v>3.31</v>
      </c>
      <c r="D10">
        <f t="shared" si="0"/>
        <v>8.4073999999999991</v>
      </c>
    </row>
    <row r="11" spans="1:4" x14ac:dyDescent="0.2">
      <c r="A11">
        <v>11</v>
      </c>
      <c r="B11" t="s">
        <v>1826</v>
      </c>
      <c r="C11">
        <f>data_shackle!K14</f>
        <v>3.75</v>
      </c>
      <c r="D11">
        <f t="shared" si="0"/>
        <v>9.5250000000000004</v>
      </c>
    </row>
    <row r="12" spans="1:4" x14ac:dyDescent="0.2">
      <c r="A12">
        <v>12</v>
      </c>
      <c r="B12" t="s">
        <v>1827</v>
      </c>
      <c r="C12">
        <f>data_shackle!K15</f>
        <v>4.25</v>
      </c>
      <c r="D12">
        <f t="shared" si="0"/>
        <v>10.794999999999998</v>
      </c>
    </row>
    <row r="13" spans="1:4" x14ac:dyDescent="0.2">
      <c r="A13">
        <v>13</v>
      </c>
      <c r="B13" t="s">
        <v>1828</v>
      </c>
      <c r="C13">
        <f>data_shackle!K16</f>
        <v>4.6900000000000004</v>
      </c>
      <c r="D13">
        <f t="shared" si="0"/>
        <v>11.912600000000001</v>
      </c>
    </row>
    <row r="14" spans="1:4" x14ac:dyDescent="0.2">
      <c r="A14">
        <v>14</v>
      </c>
      <c r="B14" t="s">
        <v>1829</v>
      </c>
      <c r="C14">
        <f>data_shackle!K17</f>
        <v>5.25</v>
      </c>
      <c r="D14">
        <f t="shared" si="0"/>
        <v>13.334999999999999</v>
      </c>
    </row>
    <row r="15" spans="1:4" x14ac:dyDescent="0.2">
      <c r="A15">
        <v>15</v>
      </c>
      <c r="B15" t="s">
        <v>1830</v>
      </c>
      <c r="C15">
        <f>data_shackle!K18</f>
        <v>5.75</v>
      </c>
      <c r="D15">
        <f t="shared" si="0"/>
        <v>14.604999999999999</v>
      </c>
    </row>
    <row r="16" spans="1:4" x14ac:dyDescent="0.2">
      <c r="A16">
        <v>16</v>
      </c>
      <c r="B16" t="s">
        <v>1831</v>
      </c>
      <c r="C16">
        <f>data_shackle!K19</f>
        <v>7</v>
      </c>
      <c r="D16">
        <f t="shared" si="0"/>
        <v>17.779999999999998</v>
      </c>
    </row>
    <row r="17" spans="1:4" x14ac:dyDescent="0.2">
      <c r="A17">
        <v>17</v>
      </c>
      <c r="B17" t="s">
        <v>1832</v>
      </c>
      <c r="C17">
        <f>data_shackle!K20</f>
        <v>7.75</v>
      </c>
      <c r="D17">
        <f t="shared" si="0"/>
        <v>19.684999999999999</v>
      </c>
    </row>
    <row r="18" spans="1:4" x14ac:dyDescent="0.2">
      <c r="A18">
        <v>18</v>
      </c>
      <c r="B18" t="s">
        <v>1833</v>
      </c>
      <c r="C18">
        <f>data_shackle!K21</f>
        <v>10.5</v>
      </c>
      <c r="D18">
        <f t="shared" si="0"/>
        <v>26.669999999999998</v>
      </c>
    </row>
    <row r="19" spans="1:4" x14ac:dyDescent="0.2">
      <c r="A19">
        <v>19</v>
      </c>
      <c r="B19" t="s">
        <v>279</v>
      </c>
      <c r="C19">
        <v>0</v>
      </c>
      <c r="D19">
        <f t="shared" si="0"/>
        <v>0</v>
      </c>
    </row>
    <row r="20" spans="1:4" x14ac:dyDescent="0.2">
      <c r="A20">
        <v>20</v>
      </c>
      <c r="B20" t="s">
        <v>1834</v>
      </c>
      <c r="C20">
        <f>data_shackle!M23</f>
        <v>1.62</v>
      </c>
      <c r="D20">
        <f t="shared" si="0"/>
        <v>4.1148000000000007</v>
      </c>
    </row>
    <row r="21" spans="1:4" x14ac:dyDescent="0.2">
      <c r="A21">
        <v>21</v>
      </c>
      <c r="B21" t="s">
        <v>1835</v>
      </c>
      <c r="C21">
        <f>data_shackle!M24</f>
        <v>1.5</v>
      </c>
      <c r="D21">
        <f t="shared" si="0"/>
        <v>3.8099999999999996</v>
      </c>
    </row>
    <row r="22" spans="1:4" x14ac:dyDescent="0.2">
      <c r="A22">
        <v>22</v>
      </c>
      <c r="B22" t="s">
        <v>1836</v>
      </c>
      <c r="C22">
        <f>data_shackle!M25</f>
        <v>2</v>
      </c>
      <c r="D22">
        <f t="shared" si="0"/>
        <v>5.08</v>
      </c>
    </row>
    <row r="23" spans="1:4" x14ac:dyDescent="0.2">
      <c r="A23">
        <v>23</v>
      </c>
      <c r="B23" t="s">
        <v>1837</v>
      </c>
      <c r="C23">
        <f>data_shackle!M26</f>
        <v>2.75</v>
      </c>
      <c r="D23">
        <f t="shared" si="0"/>
        <v>6.9849999999999994</v>
      </c>
    </row>
    <row r="24" spans="1:4" x14ac:dyDescent="0.2">
      <c r="A24">
        <v>24</v>
      </c>
      <c r="B24" t="s">
        <v>1838</v>
      </c>
      <c r="C24">
        <f>data_shackle!M27</f>
        <v>1.5</v>
      </c>
      <c r="D24">
        <f t="shared" si="0"/>
        <v>3.8099999999999996</v>
      </c>
    </row>
    <row r="25" spans="1:4" x14ac:dyDescent="0.2">
      <c r="A25">
        <v>25</v>
      </c>
      <c r="B25" t="s">
        <v>1839</v>
      </c>
      <c r="C25">
        <f>data_shackle!M28</f>
        <v>1.88</v>
      </c>
      <c r="D25">
        <f t="shared" si="0"/>
        <v>4.7751999999999999</v>
      </c>
    </row>
    <row r="26" spans="1:4" x14ac:dyDescent="0.2">
      <c r="A26">
        <v>26</v>
      </c>
      <c r="B26" t="s">
        <v>1840</v>
      </c>
      <c r="C26">
        <f>data_shackle!M29</f>
        <v>2.81</v>
      </c>
      <c r="D26">
        <f t="shared" si="0"/>
        <v>7.1373999999999995</v>
      </c>
    </row>
    <row r="27" spans="1:4" x14ac:dyDescent="0.2">
      <c r="A27">
        <v>27</v>
      </c>
      <c r="B27" t="s">
        <v>1841</v>
      </c>
      <c r="C27">
        <f>data_shackle!M30</f>
        <v>3.06</v>
      </c>
      <c r="D27">
        <f t="shared" si="0"/>
        <v>7.7724000000000002</v>
      </c>
    </row>
    <row r="28" spans="1:4" x14ac:dyDescent="0.2">
      <c r="A28">
        <v>28</v>
      </c>
      <c r="B28" t="s">
        <v>1842</v>
      </c>
      <c r="C28">
        <f>data_shackle!M31</f>
        <v>5.75</v>
      </c>
      <c r="D28">
        <f t="shared" si="0"/>
        <v>14.604999999999999</v>
      </c>
    </row>
    <row r="29" spans="1:4" x14ac:dyDescent="0.2">
      <c r="A29">
        <v>29</v>
      </c>
      <c r="B29" t="s">
        <v>1843</v>
      </c>
      <c r="C29">
        <f>data_shackle!M32</f>
        <v>6.34</v>
      </c>
      <c r="D29">
        <f t="shared" si="0"/>
        <v>16.1036</v>
      </c>
    </row>
    <row r="30" spans="1:4" x14ac:dyDescent="0.2">
      <c r="A30">
        <v>30</v>
      </c>
      <c r="B30" t="s">
        <v>1845</v>
      </c>
      <c r="C30">
        <f>data_shackle!M33</f>
        <v>7.7</v>
      </c>
      <c r="D30">
        <f t="shared" si="0"/>
        <v>19.558</v>
      </c>
    </row>
    <row r="31" spans="1:4" x14ac:dyDescent="0.2">
      <c r="A31">
        <v>31</v>
      </c>
      <c r="C31">
        <f>data_shackle!M34</f>
        <v>0</v>
      </c>
      <c r="D31">
        <f t="shared" si="0"/>
        <v>0</v>
      </c>
    </row>
    <row r="32" spans="1:4" x14ac:dyDescent="0.2">
      <c r="A32">
        <v>32</v>
      </c>
      <c r="C32">
        <f>data_shackle!M35</f>
        <v>0</v>
      </c>
      <c r="D32">
        <f t="shared" si="0"/>
        <v>0</v>
      </c>
    </row>
    <row r="33" spans="1:4" x14ac:dyDescent="0.2">
      <c r="A33">
        <v>33</v>
      </c>
      <c r="C33">
        <f>data_shackle!M36</f>
        <v>0</v>
      </c>
      <c r="D33">
        <f t="shared" si="0"/>
        <v>0</v>
      </c>
    </row>
    <row r="34" spans="1:4" x14ac:dyDescent="0.2">
      <c r="A34">
        <v>34</v>
      </c>
      <c r="C34">
        <f>data_shackle!M37</f>
        <v>0</v>
      </c>
      <c r="D34">
        <f t="shared" si="0"/>
        <v>0</v>
      </c>
    </row>
    <row r="35" spans="1:4" x14ac:dyDescent="0.2">
      <c r="A35">
        <v>35</v>
      </c>
      <c r="C35">
        <f>data_shackle!M38</f>
        <v>0</v>
      </c>
      <c r="D35">
        <f t="shared" si="0"/>
        <v>0</v>
      </c>
    </row>
    <row r="36" spans="1:4" x14ac:dyDescent="0.2">
      <c r="A36">
        <v>36</v>
      </c>
      <c r="B36" t="s">
        <v>279</v>
      </c>
      <c r="D36">
        <f t="shared" si="0"/>
        <v>0</v>
      </c>
    </row>
    <row r="37" spans="1:4" x14ac:dyDescent="0.2">
      <c r="A37">
        <v>37</v>
      </c>
      <c r="B37" t="s">
        <v>1846</v>
      </c>
      <c r="C37">
        <f>data_shackle!K40</f>
        <v>1.44</v>
      </c>
      <c r="D37">
        <f t="shared" si="0"/>
        <v>3.6575999999999995</v>
      </c>
    </row>
    <row r="38" spans="1:4" x14ac:dyDescent="0.2">
      <c r="A38">
        <v>38</v>
      </c>
      <c r="B38" t="s">
        <v>1847</v>
      </c>
      <c r="C38">
        <f>data_shackle!K41</f>
        <v>1.69</v>
      </c>
      <c r="D38">
        <f t="shared" si="0"/>
        <v>4.2925999999999993</v>
      </c>
    </row>
    <row r="39" spans="1:4" x14ac:dyDescent="0.2">
      <c r="A39">
        <v>39</v>
      </c>
      <c r="B39" t="s">
        <v>1848</v>
      </c>
      <c r="C39">
        <f>data_shackle!K42</f>
        <v>1.88</v>
      </c>
      <c r="D39">
        <f t="shared" si="0"/>
        <v>4.7751999999999999</v>
      </c>
    </row>
    <row r="40" spans="1:4" x14ac:dyDescent="0.2">
      <c r="A40">
        <v>40</v>
      </c>
      <c r="B40" t="s">
        <v>1849</v>
      </c>
      <c r="C40">
        <f>data_shackle!K43</f>
        <v>2.38</v>
      </c>
      <c r="D40">
        <f t="shared" si="0"/>
        <v>6.0451999999999995</v>
      </c>
    </row>
    <row r="41" spans="1:4" x14ac:dyDescent="0.2">
      <c r="A41">
        <v>41</v>
      </c>
      <c r="B41" t="s">
        <v>1850</v>
      </c>
      <c r="C41">
        <f>data_shackle!K44</f>
        <v>2.81</v>
      </c>
      <c r="D41">
        <f t="shared" si="0"/>
        <v>7.1373999999999995</v>
      </c>
    </row>
    <row r="42" spans="1:4" x14ac:dyDescent="0.2">
      <c r="A42">
        <v>42</v>
      </c>
      <c r="B42" t="s">
        <v>1851</v>
      </c>
      <c r="C42">
        <f>data_shackle!K45</f>
        <v>3.31</v>
      </c>
      <c r="D42">
        <f t="shared" si="0"/>
        <v>8.4073999999999991</v>
      </c>
    </row>
    <row r="43" spans="1:4" x14ac:dyDescent="0.2">
      <c r="A43">
        <v>43</v>
      </c>
      <c r="B43" t="s">
        <v>1852</v>
      </c>
      <c r="C43">
        <f>data_shackle!K46</f>
        <v>3.75</v>
      </c>
      <c r="D43">
        <f t="shared" si="0"/>
        <v>9.5250000000000004</v>
      </c>
    </row>
    <row r="44" spans="1:4" x14ac:dyDescent="0.2">
      <c r="A44">
        <v>44</v>
      </c>
      <c r="B44" t="s">
        <v>1853</v>
      </c>
      <c r="C44">
        <f>data_shackle!K47</f>
        <v>4.25</v>
      </c>
      <c r="D44">
        <f t="shared" si="0"/>
        <v>10.794999999999998</v>
      </c>
    </row>
    <row r="45" spans="1:4" x14ac:dyDescent="0.2">
      <c r="A45">
        <v>45</v>
      </c>
      <c r="B45" t="s">
        <v>1854</v>
      </c>
      <c r="C45">
        <f>data_shackle!K48</f>
        <v>4.6900000000000004</v>
      </c>
      <c r="D45">
        <f t="shared" si="0"/>
        <v>11.912600000000001</v>
      </c>
    </row>
    <row r="46" spans="1:4" x14ac:dyDescent="0.2">
      <c r="A46">
        <v>46</v>
      </c>
      <c r="B46" t="s">
        <v>1855</v>
      </c>
      <c r="C46">
        <f>data_shackle!K49</f>
        <v>5.25</v>
      </c>
      <c r="D46">
        <f t="shared" si="0"/>
        <v>13.334999999999999</v>
      </c>
    </row>
    <row r="47" spans="1:4" x14ac:dyDescent="0.2">
      <c r="A47">
        <v>47</v>
      </c>
      <c r="B47" t="s">
        <v>279</v>
      </c>
      <c r="C47">
        <v>0</v>
      </c>
      <c r="D47">
        <f t="shared" si="0"/>
        <v>0</v>
      </c>
    </row>
    <row r="48" spans="1:4" x14ac:dyDescent="0.2">
      <c r="A48">
        <v>48</v>
      </c>
      <c r="B48" t="s">
        <v>1856</v>
      </c>
      <c r="C48">
        <f>data_shackle!K51</f>
        <v>1.62</v>
      </c>
      <c r="D48">
        <f t="shared" si="0"/>
        <v>4.1148000000000007</v>
      </c>
    </row>
    <row r="49" spans="1:4" x14ac:dyDescent="0.2">
      <c r="A49">
        <v>49</v>
      </c>
      <c r="B49" t="s">
        <v>1857</v>
      </c>
      <c r="C49">
        <f>data_shackle!K52</f>
        <v>2.25</v>
      </c>
      <c r="D49">
        <f t="shared" si="0"/>
        <v>5.7149999999999999</v>
      </c>
    </row>
    <row r="50" spans="1:4" x14ac:dyDescent="0.2">
      <c r="A50">
        <v>50</v>
      </c>
      <c r="B50" t="s">
        <v>1858</v>
      </c>
      <c r="C50">
        <f>data_shackle!K53</f>
        <v>2.4</v>
      </c>
      <c r="D50">
        <f t="shared" si="0"/>
        <v>6.0959999999999992</v>
      </c>
    </row>
    <row r="51" spans="1:4" x14ac:dyDescent="0.2">
      <c r="A51">
        <v>51</v>
      </c>
      <c r="B51" t="s">
        <v>1859</v>
      </c>
      <c r="C51">
        <f>data_shackle!K54</f>
        <v>3.12</v>
      </c>
      <c r="D51">
        <f t="shared" si="0"/>
        <v>7.9248000000000003</v>
      </c>
    </row>
    <row r="52" spans="1:4" x14ac:dyDescent="0.2">
      <c r="A52">
        <v>52</v>
      </c>
      <c r="B52" t="s">
        <v>1860</v>
      </c>
      <c r="C52">
        <f>data_shackle!K55</f>
        <v>3.62</v>
      </c>
      <c r="D52">
        <f t="shared" si="0"/>
        <v>9.194799999999999</v>
      </c>
    </row>
    <row r="53" spans="1:4" x14ac:dyDescent="0.2">
      <c r="A53">
        <v>53</v>
      </c>
      <c r="B53" t="s">
        <v>1861</v>
      </c>
      <c r="C53">
        <f>data_shackle!K56</f>
        <v>4.38</v>
      </c>
      <c r="D53">
        <f t="shared" si="0"/>
        <v>11.1252</v>
      </c>
    </row>
    <row r="54" spans="1:4" x14ac:dyDescent="0.2">
      <c r="A54">
        <v>54</v>
      </c>
      <c r="B54" t="s">
        <v>1862</v>
      </c>
      <c r="C54">
        <f>data_shackle!K57</f>
        <v>4.5599999999999996</v>
      </c>
      <c r="D54">
        <f t="shared" si="0"/>
        <v>11.582399999999998</v>
      </c>
    </row>
    <row r="55" spans="1:4" x14ac:dyDescent="0.2">
      <c r="A55">
        <v>55</v>
      </c>
      <c r="B55" t="s">
        <v>1863</v>
      </c>
      <c r="C55">
        <f>data_shackle!K58</f>
        <v>6</v>
      </c>
      <c r="D55">
        <f t="shared" si="0"/>
        <v>15.239999999999998</v>
      </c>
    </row>
    <row r="56" spans="1:4" x14ac:dyDescent="0.2">
      <c r="A56">
        <v>56</v>
      </c>
      <c r="B56" t="s">
        <v>1864</v>
      </c>
      <c r="C56">
        <f>data_shackle!K59</f>
        <v>6.5</v>
      </c>
      <c r="D56">
        <f t="shared" si="0"/>
        <v>16.509999999999998</v>
      </c>
    </row>
    <row r="57" spans="1:4" x14ac:dyDescent="0.2">
      <c r="A57">
        <v>57</v>
      </c>
      <c r="B57" t="s">
        <v>1865</v>
      </c>
      <c r="C57">
        <f>data_shackle!K60</f>
        <v>6.75</v>
      </c>
      <c r="D57">
        <f t="shared" si="0"/>
        <v>17.145</v>
      </c>
    </row>
    <row r="58" spans="1:4" x14ac:dyDescent="0.2">
      <c r="A58">
        <v>58</v>
      </c>
      <c r="B58" t="s">
        <v>1866</v>
      </c>
      <c r="C58">
        <f>data_shackle!K61</f>
        <v>7.25</v>
      </c>
      <c r="D58">
        <f t="shared" si="0"/>
        <v>18.414999999999999</v>
      </c>
    </row>
    <row r="59" spans="1:4" x14ac:dyDescent="0.2">
      <c r="A59">
        <v>59</v>
      </c>
      <c r="B59" t="s">
        <v>279</v>
      </c>
      <c r="D59">
        <f t="shared" si="0"/>
        <v>0</v>
      </c>
    </row>
    <row r="60" spans="1:4" x14ac:dyDescent="0.2">
      <c r="A60">
        <v>60</v>
      </c>
      <c r="B60" t="s">
        <v>1867</v>
      </c>
      <c r="C60">
        <f>data_shackle!O63</f>
        <v>7</v>
      </c>
      <c r="D60">
        <f t="shared" si="0"/>
        <v>17.779999999999998</v>
      </c>
    </row>
    <row r="61" spans="1:4" x14ac:dyDescent="0.2">
      <c r="A61">
        <v>61</v>
      </c>
      <c r="B61" t="s">
        <v>1868</v>
      </c>
      <c r="C61">
        <f>data_shackle!O64</f>
        <v>8.1300000000000008</v>
      </c>
      <c r="D61">
        <f t="shared" si="0"/>
        <v>20.650200000000002</v>
      </c>
    </row>
    <row r="62" spans="1:4" x14ac:dyDescent="0.2">
      <c r="A62">
        <v>62</v>
      </c>
      <c r="B62" t="s">
        <v>1869</v>
      </c>
      <c r="C62">
        <f>data_shackle!O65</f>
        <v>9.42</v>
      </c>
      <c r="D62">
        <f t="shared" si="0"/>
        <v>23.926799999999997</v>
      </c>
    </row>
    <row r="63" spans="1:4" x14ac:dyDescent="0.2">
      <c r="A63">
        <v>63</v>
      </c>
      <c r="B63" t="s">
        <v>1870</v>
      </c>
      <c r="C63">
        <f>data_shackle!O66</f>
        <v>11.6</v>
      </c>
      <c r="D63">
        <f t="shared" si="0"/>
        <v>29.463999999999999</v>
      </c>
    </row>
    <row r="64" spans="1:4" x14ac:dyDescent="0.2">
      <c r="A64">
        <v>64</v>
      </c>
      <c r="B64" t="s">
        <v>1871</v>
      </c>
      <c r="C64">
        <f>data_shackle!O67</f>
        <v>14.43</v>
      </c>
      <c r="D64">
        <f t="shared" si="0"/>
        <v>36.652200000000001</v>
      </c>
    </row>
    <row r="65" spans="1:4" x14ac:dyDescent="0.2">
      <c r="A65">
        <v>65</v>
      </c>
      <c r="B65" t="s">
        <v>1872</v>
      </c>
      <c r="C65">
        <f>data_shackle!O68</f>
        <v>18.98</v>
      </c>
      <c r="D65">
        <f t="shared" si="0"/>
        <v>48.209199999999996</v>
      </c>
    </row>
    <row r="66" spans="1:4" x14ac:dyDescent="0.2">
      <c r="A66">
        <v>66</v>
      </c>
      <c r="B66" t="s">
        <v>1873</v>
      </c>
      <c r="C66">
        <f>data_shackle!O69</f>
        <v>23.69</v>
      </c>
      <c r="D66">
        <f t="shared" si="0"/>
        <v>60.172600000000003</v>
      </c>
    </row>
    <row r="67" spans="1:4" x14ac:dyDescent="0.2">
      <c r="A67">
        <v>67</v>
      </c>
      <c r="B67" t="s">
        <v>1874</v>
      </c>
      <c r="C67">
        <f>data_shackle!O70</f>
        <v>22.71</v>
      </c>
      <c r="D67">
        <f t="shared" ref="D67:D100" si="1">C67*25.4/10</f>
        <v>57.683399999999992</v>
      </c>
    </row>
    <row r="68" spans="1:4" x14ac:dyDescent="0.2">
      <c r="A68">
        <v>68</v>
      </c>
      <c r="B68" t="s">
        <v>1875</v>
      </c>
      <c r="C68">
        <f>data_shackle!O71</f>
        <v>24.88</v>
      </c>
      <c r="D68">
        <f t="shared" si="1"/>
        <v>63.195199999999986</v>
      </c>
    </row>
    <row r="69" spans="1:4" x14ac:dyDescent="0.2">
      <c r="A69">
        <v>69</v>
      </c>
      <c r="B69" t="s">
        <v>1876</v>
      </c>
      <c r="C69">
        <f>data_shackle!O72</f>
        <v>27.64</v>
      </c>
      <c r="D69">
        <f t="shared" si="1"/>
        <v>70.20559999999999</v>
      </c>
    </row>
    <row r="70" spans="1:4" x14ac:dyDescent="0.2">
      <c r="A70">
        <v>70</v>
      </c>
      <c r="B70" t="s">
        <v>1877</v>
      </c>
      <c r="C70">
        <f>data_shackle!O73</f>
        <v>29.04</v>
      </c>
      <c r="D70">
        <f t="shared" si="1"/>
        <v>73.761600000000001</v>
      </c>
    </row>
    <row r="71" spans="1:4" x14ac:dyDescent="0.2">
      <c r="A71">
        <v>71</v>
      </c>
      <c r="B71" t="s">
        <v>1878</v>
      </c>
      <c r="C71">
        <f>data_shackle!O74</f>
        <v>29.62</v>
      </c>
      <c r="D71">
        <f t="shared" si="1"/>
        <v>75.234799999999993</v>
      </c>
    </row>
    <row r="72" spans="1:4" x14ac:dyDescent="0.2">
      <c r="A72">
        <v>72</v>
      </c>
      <c r="B72" t="s">
        <v>1879</v>
      </c>
      <c r="C72">
        <f>data_shackle!O75</f>
        <v>30.02</v>
      </c>
      <c r="D72">
        <f t="shared" si="1"/>
        <v>76.250799999999998</v>
      </c>
    </row>
    <row r="73" spans="1:4" x14ac:dyDescent="0.2">
      <c r="A73">
        <v>73</v>
      </c>
      <c r="B73" t="s">
        <v>1880</v>
      </c>
      <c r="C73">
        <f>data_shackle!O76</f>
        <v>30.02</v>
      </c>
      <c r="D73">
        <f t="shared" si="1"/>
        <v>76.250799999999998</v>
      </c>
    </row>
    <row r="74" spans="1:4" x14ac:dyDescent="0.2">
      <c r="A74">
        <v>74</v>
      </c>
      <c r="B74" t="s">
        <v>279</v>
      </c>
      <c r="D74">
        <f t="shared" si="1"/>
        <v>0</v>
      </c>
    </row>
    <row r="75" spans="1:4" x14ac:dyDescent="0.2">
      <c r="A75">
        <v>75</v>
      </c>
      <c r="B75" t="s">
        <v>1990</v>
      </c>
      <c r="C75">
        <f>data_shackle!K78</f>
        <v>0</v>
      </c>
      <c r="D75">
        <f t="shared" si="1"/>
        <v>0</v>
      </c>
    </row>
    <row r="76" spans="1:4" x14ac:dyDescent="0.2">
      <c r="A76">
        <v>76</v>
      </c>
      <c r="B76" t="s">
        <v>275</v>
      </c>
      <c r="C76">
        <f>data_shackle!K79</f>
        <v>0</v>
      </c>
      <c r="D76">
        <f t="shared" si="1"/>
        <v>0</v>
      </c>
    </row>
    <row r="77" spans="1:4" x14ac:dyDescent="0.2">
      <c r="A77">
        <v>77</v>
      </c>
      <c r="B77" t="s">
        <v>1991</v>
      </c>
      <c r="C77">
        <f>data_shackle!K80</f>
        <v>0</v>
      </c>
      <c r="D77">
        <f t="shared" si="1"/>
        <v>0</v>
      </c>
    </row>
    <row r="78" spans="1:4" x14ac:dyDescent="0.2">
      <c r="A78">
        <v>78</v>
      </c>
      <c r="B78" t="s">
        <v>276</v>
      </c>
      <c r="C78">
        <f>data_shackle!K81</f>
        <v>0</v>
      </c>
      <c r="D78">
        <f t="shared" si="1"/>
        <v>0</v>
      </c>
    </row>
    <row r="79" spans="1:4" x14ac:dyDescent="0.2">
      <c r="A79">
        <v>79</v>
      </c>
      <c r="B79" t="s">
        <v>277</v>
      </c>
      <c r="C79">
        <f>data_shackle!K82</f>
        <v>0</v>
      </c>
      <c r="D79">
        <f t="shared" si="1"/>
        <v>0</v>
      </c>
    </row>
    <row r="80" spans="1:4" x14ac:dyDescent="0.2">
      <c r="A80">
        <v>80</v>
      </c>
      <c r="B80" t="s">
        <v>278</v>
      </c>
      <c r="C80">
        <f>data_shackle!K83</f>
        <v>0</v>
      </c>
      <c r="D80">
        <f t="shared" si="1"/>
        <v>0</v>
      </c>
    </row>
    <row r="81" spans="2:4" x14ac:dyDescent="0.2">
      <c r="D81">
        <f t="shared" si="1"/>
        <v>0</v>
      </c>
    </row>
    <row r="82" spans="2:4" x14ac:dyDescent="0.2">
      <c r="D82">
        <f t="shared" si="1"/>
        <v>0</v>
      </c>
    </row>
    <row r="83" spans="2:4" x14ac:dyDescent="0.2">
      <c r="D83">
        <f t="shared" si="1"/>
        <v>0</v>
      </c>
    </row>
    <row r="84" spans="2:4" x14ac:dyDescent="0.2">
      <c r="B84" t="s">
        <v>279</v>
      </c>
      <c r="D84">
        <f t="shared" si="1"/>
        <v>0</v>
      </c>
    </row>
    <row r="85" spans="2:4" x14ac:dyDescent="0.2">
      <c r="B85" t="s">
        <v>1882</v>
      </c>
      <c r="C85">
        <f>data_shackle!O88</f>
        <v>0.97</v>
      </c>
      <c r="D85">
        <f t="shared" si="1"/>
        <v>2.4638</v>
      </c>
    </row>
    <row r="86" spans="2:4" x14ac:dyDescent="0.2">
      <c r="B86" t="s">
        <v>1883</v>
      </c>
      <c r="C86">
        <f>data_shackle!O89</f>
        <v>1.07</v>
      </c>
      <c r="D86">
        <f t="shared" si="1"/>
        <v>2.7178</v>
      </c>
    </row>
    <row r="87" spans="2:4" x14ac:dyDescent="0.2">
      <c r="B87" t="s">
        <v>1884</v>
      </c>
      <c r="C87">
        <f>data_shackle!O90</f>
        <v>1.28</v>
      </c>
      <c r="D87">
        <f t="shared" si="1"/>
        <v>3.2511999999999999</v>
      </c>
    </row>
    <row r="88" spans="2:4" x14ac:dyDescent="0.2">
      <c r="B88" t="s">
        <v>1885</v>
      </c>
      <c r="C88">
        <f>data_shackle!O91</f>
        <v>1.48</v>
      </c>
      <c r="D88">
        <f t="shared" si="1"/>
        <v>3.7591999999999999</v>
      </c>
    </row>
    <row r="89" spans="2:4" x14ac:dyDescent="0.2">
      <c r="B89" t="s">
        <v>1886</v>
      </c>
      <c r="C89">
        <f>data_shackle!O92</f>
        <v>1.66</v>
      </c>
      <c r="D89">
        <f t="shared" si="1"/>
        <v>4.2163999999999993</v>
      </c>
    </row>
    <row r="90" spans="2:4" x14ac:dyDescent="0.2">
      <c r="B90" t="s">
        <v>1887</v>
      </c>
      <c r="C90">
        <f>data_shackle!O93</f>
        <v>2.04</v>
      </c>
      <c r="D90">
        <f t="shared" si="1"/>
        <v>5.1815999999999995</v>
      </c>
    </row>
    <row r="91" spans="2:4" x14ac:dyDescent="0.2">
      <c r="B91" t="s">
        <v>1888</v>
      </c>
      <c r="C91">
        <f>data_shackle!O94</f>
        <v>2.4</v>
      </c>
      <c r="D91">
        <f t="shared" si="1"/>
        <v>6.0959999999999992</v>
      </c>
    </row>
    <row r="92" spans="2:4" x14ac:dyDescent="0.2">
      <c r="B92" t="s">
        <v>1889</v>
      </c>
      <c r="C92">
        <f>data_shackle!O95</f>
        <v>2.86</v>
      </c>
      <c r="D92">
        <f t="shared" si="1"/>
        <v>7.2643999999999993</v>
      </c>
    </row>
    <row r="93" spans="2:4" x14ac:dyDescent="0.2">
      <c r="B93" t="s">
        <v>1890</v>
      </c>
      <c r="C93">
        <f>data_shackle!O96</f>
        <v>3.24</v>
      </c>
      <c r="D93">
        <f t="shared" si="1"/>
        <v>8.2296000000000014</v>
      </c>
    </row>
    <row r="94" spans="2:4" x14ac:dyDescent="0.2">
      <c r="B94" t="s">
        <v>1891</v>
      </c>
      <c r="C94">
        <f>data_shackle!O97</f>
        <v>3.61</v>
      </c>
      <c r="D94">
        <f t="shared" si="1"/>
        <v>9.1693999999999996</v>
      </c>
    </row>
    <row r="95" spans="2:4" x14ac:dyDescent="0.2">
      <c r="B95" t="s">
        <v>1892</v>
      </c>
      <c r="C95">
        <f>data_shackle!O98</f>
        <v>3.97</v>
      </c>
      <c r="D95">
        <f t="shared" si="1"/>
        <v>10.0838</v>
      </c>
    </row>
    <row r="96" spans="2:4" x14ac:dyDescent="0.2">
      <c r="B96" t="s">
        <v>1893</v>
      </c>
      <c r="C96">
        <f>data_shackle!O99</f>
        <v>4.43</v>
      </c>
      <c r="D96">
        <f t="shared" si="1"/>
        <v>11.252199999999998</v>
      </c>
    </row>
    <row r="97" spans="2:4" x14ac:dyDescent="0.2">
      <c r="B97" t="s">
        <v>1894</v>
      </c>
      <c r="C97">
        <f>data_shackle!O100</f>
        <v>4.84</v>
      </c>
      <c r="D97">
        <f t="shared" si="1"/>
        <v>12.2936</v>
      </c>
    </row>
    <row r="98" spans="2:4" x14ac:dyDescent="0.2">
      <c r="B98" t="s">
        <v>1895</v>
      </c>
      <c r="C98">
        <f>data_shackle!O101</f>
        <v>5.78</v>
      </c>
      <c r="D98">
        <f t="shared" si="1"/>
        <v>14.6812</v>
      </c>
    </row>
    <row r="99" spans="2:4" x14ac:dyDescent="0.2">
      <c r="B99" t="s">
        <v>1896</v>
      </c>
      <c r="C99">
        <f>data_shackle!O102</f>
        <v>6.77</v>
      </c>
      <c r="D99">
        <f t="shared" si="1"/>
        <v>17.195799999999998</v>
      </c>
    </row>
    <row r="100" spans="2:4" x14ac:dyDescent="0.2">
      <c r="B100" t="s">
        <v>1897</v>
      </c>
      <c r="C100">
        <f>data_shackle!O103</f>
        <v>8.07</v>
      </c>
      <c r="D100">
        <f t="shared" si="1"/>
        <v>20.497800000000002</v>
      </c>
    </row>
  </sheetData>
  <phoneticPr fontId="15" type="noConversion"/>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E103"/>
  <sheetViews>
    <sheetView topLeftCell="A54" workbookViewId="0">
      <selection activeCell="B85" sqref="B85"/>
    </sheetView>
  </sheetViews>
  <sheetFormatPr defaultRowHeight="12.75" x14ac:dyDescent="0.2"/>
  <cols>
    <col min="1" max="1" width="3" bestFit="1" customWidth="1"/>
    <col min="2" max="2" width="61.140625" bestFit="1" customWidth="1"/>
    <col min="3" max="3" width="4" bestFit="1" customWidth="1"/>
    <col min="4" max="4" width="40.5703125" bestFit="1" customWidth="1"/>
    <col min="5" max="5" width="18.5703125" bestFit="1" customWidth="1"/>
    <col min="8" max="8" width="10.28515625" customWidth="1"/>
    <col min="21" max="21" width="10.42578125" customWidth="1"/>
    <col min="22" max="22" width="11.28515625" bestFit="1" customWidth="1"/>
    <col min="23" max="23" width="10.28515625" bestFit="1" customWidth="1"/>
    <col min="24" max="26" width="11.28515625" bestFit="1" customWidth="1"/>
  </cols>
  <sheetData>
    <row r="1" spans="1:26" ht="21" x14ac:dyDescent="0.25">
      <c r="C1" s="364"/>
      <c r="E1" s="95" t="s">
        <v>263</v>
      </c>
      <c r="F1" s="95" t="s">
        <v>264</v>
      </c>
      <c r="G1" s="96" t="s">
        <v>141</v>
      </c>
      <c r="H1" s="95" t="s">
        <v>265</v>
      </c>
      <c r="I1" s="172" t="s">
        <v>1994</v>
      </c>
      <c r="J1" s="99" t="s">
        <v>142</v>
      </c>
      <c r="K1" s="171" t="s">
        <v>1993</v>
      </c>
      <c r="L1" s="99" t="s">
        <v>143</v>
      </c>
      <c r="M1" s="97"/>
      <c r="N1" s="97"/>
      <c r="O1" s="97"/>
      <c r="P1" s="171" t="s">
        <v>144</v>
      </c>
      <c r="Q1" s="97"/>
      <c r="R1" s="97"/>
      <c r="S1" s="97"/>
      <c r="T1" s="98"/>
    </row>
    <row r="2" spans="1:26" x14ac:dyDescent="0.2">
      <c r="B2" s="127" t="s">
        <v>140</v>
      </c>
      <c r="C2" s="365"/>
      <c r="D2" s="127" t="s">
        <v>166</v>
      </c>
      <c r="E2" s="100"/>
      <c r="F2" s="101"/>
      <c r="G2" s="102"/>
      <c r="H2" s="100"/>
      <c r="I2" s="102" t="s">
        <v>1994</v>
      </c>
      <c r="J2" s="142" t="s">
        <v>1995</v>
      </c>
      <c r="K2" s="102" t="s">
        <v>1993</v>
      </c>
      <c r="L2" s="140" t="s">
        <v>2018</v>
      </c>
      <c r="M2" s="102" t="s">
        <v>144</v>
      </c>
      <c r="N2" s="102" t="s">
        <v>2031</v>
      </c>
      <c r="O2" s="102" t="s">
        <v>2032</v>
      </c>
      <c r="P2" s="102" t="s">
        <v>145</v>
      </c>
      <c r="Q2" s="102" t="s">
        <v>146</v>
      </c>
      <c r="R2" s="102" t="s">
        <v>147</v>
      </c>
      <c r="S2" s="103" t="s">
        <v>148</v>
      </c>
      <c r="T2" s="128" t="s">
        <v>167</v>
      </c>
      <c r="U2" s="131" t="s">
        <v>2014</v>
      </c>
      <c r="V2" s="131" t="s">
        <v>2050</v>
      </c>
      <c r="W2" s="131" t="s">
        <v>2049</v>
      </c>
      <c r="X2" s="802" t="s">
        <v>1313</v>
      </c>
      <c r="Y2" s="802" t="s">
        <v>2050</v>
      </c>
      <c r="Z2" s="802" t="s">
        <v>2049</v>
      </c>
    </row>
    <row r="3" spans="1:26" ht="5.25" customHeight="1" x14ac:dyDescent="0.2">
      <c r="B3" s="149"/>
      <c r="C3" s="365"/>
      <c r="D3" s="149"/>
      <c r="E3" s="150"/>
      <c r="F3" s="151"/>
      <c r="G3" s="152"/>
      <c r="H3" s="153"/>
      <c r="I3" s="152"/>
      <c r="J3" s="152"/>
      <c r="K3" s="152"/>
      <c r="L3" s="152"/>
      <c r="M3" s="152"/>
      <c r="N3" s="152"/>
      <c r="O3" s="152"/>
      <c r="P3" s="152"/>
      <c r="Q3" s="152"/>
      <c r="R3" s="152"/>
      <c r="S3" s="154"/>
      <c r="T3" s="155"/>
      <c r="U3" s="156"/>
      <c r="V3" s="156"/>
      <c r="W3" s="156"/>
    </row>
    <row r="4" spans="1:26" s="9" customFormat="1" ht="12.75" customHeight="1" x14ac:dyDescent="0.2">
      <c r="A4" s="105">
        <v>1</v>
      </c>
      <c r="B4" s="162" t="s">
        <v>255</v>
      </c>
      <c r="C4" s="366">
        <v>1</v>
      </c>
      <c r="D4" s="636" t="s">
        <v>1900</v>
      </c>
      <c r="E4" s="132"/>
      <c r="F4" s="159"/>
      <c r="G4" s="148"/>
      <c r="H4" s="160"/>
      <c r="I4" s="148"/>
      <c r="J4" s="148"/>
      <c r="K4" s="148">
        <v>0</v>
      </c>
      <c r="L4" s="148"/>
      <c r="M4" s="148"/>
      <c r="N4" s="148"/>
      <c r="O4" s="148"/>
      <c r="P4" s="148"/>
      <c r="Q4" s="148"/>
      <c r="R4" s="148"/>
      <c r="S4" s="161"/>
      <c r="T4" s="104"/>
      <c r="U4" s="133">
        <v>1000000</v>
      </c>
      <c r="V4" s="133"/>
      <c r="W4" s="133"/>
    </row>
    <row r="5" spans="1:26" x14ac:dyDescent="0.2">
      <c r="A5" s="105">
        <v>2</v>
      </c>
      <c r="B5" t="str">
        <f>CONCATENATE("Crosby® G-209 CARBON ",E5,"Screw pin Anchor Shackle"," WLL: ",T5," (t)")</f>
        <v>Crosby® G-209 CARBON 3/16" Screw pin Anchor Shackle WLL:  1/3 (t)</v>
      </c>
      <c r="C5" s="366">
        <v>2</v>
      </c>
      <c r="D5" t="str">
        <f>CONCATENATE(E5, "CARBON Screw Pin Anchor"," (",T5," t)")</f>
        <v>3/16" CARBON Screw Pin Anchor ( 1/3 t)</v>
      </c>
      <c r="E5" s="90" t="s">
        <v>149</v>
      </c>
      <c r="F5" s="106">
        <v>0.33333333333333331</v>
      </c>
      <c r="G5" s="107">
        <v>1018357</v>
      </c>
      <c r="H5" s="107">
        <v>0.06</v>
      </c>
      <c r="I5" s="107">
        <v>0.38</v>
      </c>
      <c r="J5" s="143">
        <v>0.25</v>
      </c>
      <c r="K5" s="107">
        <v>0.88</v>
      </c>
      <c r="L5" s="141">
        <v>0.19</v>
      </c>
      <c r="M5" s="107">
        <v>0.6</v>
      </c>
      <c r="N5" s="107">
        <v>0.56000000000000005</v>
      </c>
      <c r="O5" s="107">
        <v>0.98</v>
      </c>
      <c r="P5" s="107">
        <v>1.47</v>
      </c>
      <c r="Q5" s="107">
        <v>0.16</v>
      </c>
      <c r="R5" s="107">
        <v>1.1200000000000001</v>
      </c>
      <c r="S5" s="108">
        <v>0.19</v>
      </c>
      <c r="T5" s="129" t="s">
        <v>163</v>
      </c>
      <c r="U5" s="136">
        <f t="shared" ref="U5:U21" si="0">F5*2000</f>
        <v>666.66666666666663</v>
      </c>
      <c r="V5" s="136">
        <f>U5*0.7</f>
        <v>466.66666666666663</v>
      </c>
      <c r="W5" s="136">
        <f>V5*0.7</f>
        <v>326.66666666666663</v>
      </c>
      <c r="X5" s="239">
        <f>U5*0.45359237</f>
        <v>302.39491333333331</v>
      </c>
      <c r="Y5" s="239">
        <f>V5*0.45359237</f>
        <v>211.67643933333332</v>
      </c>
      <c r="Z5" s="239">
        <f>W5*0.45359237</f>
        <v>148.17350753333332</v>
      </c>
    </row>
    <row r="6" spans="1:26" x14ac:dyDescent="0.2">
      <c r="A6" s="105">
        <v>3</v>
      </c>
      <c r="B6" t="str">
        <f t="shared" ref="B6:B21" si="1">CONCATENATE("Crosby® G-209 CARBON ",E6,"Screw pin Anchor Shackle"," WLL: ",T6," (t)")</f>
        <v>Crosby® G-209 CARBON 1/4"Screw pin Anchor Shackle WLL:  1/2 (t)</v>
      </c>
      <c r="C6" s="366">
        <v>3</v>
      </c>
      <c r="D6" t="str">
        <f t="shared" ref="D6:D21" si="2">CONCATENATE(E6, "CARBON Screw Pin Anchor"," (",T6," t)")</f>
        <v>1/4"CARBON Screw Pin Anchor ( 1/2 t)</v>
      </c>
      <c r="E6" s="90" t="s">
        <v>2033</v>
      </c>
      <c r="F6" s="109">
        <v>0.5</v>
      </c>
      <c r="G6" s="107">
        <v>1018375</v>
      </c>
      <c r="H6" s="107">
        <v>0.1</v>
      </c>
      <c r="I6" s="107">
        <v>0.47</v>
      </c>
      <c r="J6" s="143">
        <v>0.31</v>
      </c>
      <c r="K6" s="107">
        <v>1.1299999999999999</v>
      </c>
      <c r="L6" s="141">
        <v>0.25</v>
      </c>
      <c r="M6" s="107">
        <v>0.78</v>
      </c>
      <c r="N6" s="107">
        <v>0.61</v>
      </c>
      <c r="O6" s="107">
        <v>1.28</v>
      </c>
      <c r="P6" s="107">
        <v>1.84</v>
      </c>
      <c r="Q6" s="107">
        <v>0.19</v>
      </c>
      <c r="R6" s="107">
        <v>1.38</v>
      </c>
      <c r="S6" s="108">
        <v>0.25</v>
      </c>
      <c r="T6" s="129" t="s">
        <v>164</v>
      </c>
      <c r="U6" s="136">
        <f t="shared" si="0"/>
        <v>1000</v>
      </c>
      <c r="V6" s="136">
        <f t="shared" ref="V6:W21" si="3">U6*0.7</f>
        <v>700</v>
      </c>
      <c r="W6" s="136">
        <f t="shared" si="3"/>
        <v>489.99999999999994</v>
      </c>
      <c r="X6" s="239">
        <f t="shared" ref="X6:X21" si="4">U6*0.45359237</f>
        <v>453.59237000000002</v>
      </c>
      <c r="Y6" s="239">
        <f t="shared" ref="Y6:Y21" si="5">V6*0.45359237</f>
        <v>317.51465899999999</v>
      </c>
      <c r="Z6" s="239">
        <f t="shared" ref="Z6:Z21" si="6">W6*0.45359237</f>
        <v>222.2602613</v>
      </c>
    </row>
    <row r="7" spans="1:26" x14ac:dyDescent="0.2">
      <c r="A7" s="105">
        <v>4</v>
      </c>
      <c r="B7" t="str">
        <f t="shared" si="1"/>
        <v>Crosby® G-209 CARBON 5/16"Screw pin Anchor Shackle WLL:  3/4 (t)</v>
      </c>
      <c r="C7" s="366">
        <v>4</v>
      </c>
      <c r="D7" t="str">
        <f t="shared" si="2"/>
        <v>5/16"CARBON Screw Pin Anchor ( 3/4 t)</v>
      </c>
      <c r="E7" s="90" t="s">
        <v>2034</v>
      </c>
      <c r="F7" s="110">
        <v>0.75</v>
      </c>
      <c r="G7" s="107">
        <v>1018393</v>
      </c>
      <c r="H7" s="107">
        <v>0.19</v>
      </c>
      <c r="I7" s="107">
        <v>0.53</v>
      </c>
      <c r="J7" s="143">
        <v>0.38</v>
      </c>
      <c r="K7" s="107">
        <v>1.22</v>
      </c>
      <c r="L7" s="141">
        <v>0.31</v>
      </c>
      <c r="M7" s="107">
        <v>0.84</v>
      </c>
      <c r="N7" s="107">
        <v>0.75</v>
      </c>
      <c r="O7" s="107">
        <v>1.47</v>
      </c>
      <c r="P7" s="107">
        <v>2.09</v>
      </c>
      <c r="Q7" s="107">
        <v>0.22</v>
      </c>
      <c r="R7" s="107">
        <v>1.66</v>
      </c>
      <c r="S7" s="108">
        <v>0.31</v>
      </c>
      <c r="T7" s="129" t="s">
        <v>165</v>
      </c>
      <c r="U7" s="136">
        <f t="shared" si="0"/>
        <v>1500</v>
      </c>
      <c r="V7" s="136">
        <f t="shared" si="3"/>
        <v>1050</v>
      </c>
      <c r="W7" s="136">
        <f t="shared" si="3"/>
        <v>735</v>
      </c>
      <c r="X7" s="239">
        <f t="shared" si="4"/>
        <v>680.388555</v>
      </c>
      <c r="Y7" s="239">
        <f t="shared" si="5"/>
        <v>476.27198850000002</v>
      </c>
      <c r="Z7" s="239">
        <f t="shared" si="6"/>
        <v>333.39039195000004</v>
      </c>
    </row>
    <row r="8" spans="1:26" x14ac:dyDescent="0.2">
      <c r="A8" s="105">
        <v>5</v>
      </c>
      <c r="B8" t="str">
        <f t="shared" si="1"/>
        <v>Crosby® G-209 CARBON 3/8"Screw pin Anchor Shackle WLL: 1 (t)</v>
      </c>
      <c r="C8" s="366">
        <v>5</v>
      </c>
      <c r="D8" t="str">
        <f t="shared" si="2"/>
        <v>3/8"CARBON Screw Pin Anchor (1 t)</v>
      </c>
      <c r="E8" s="90" t="s">
        <v>2035</v>
      </c>
      <c r="F8" s="109">
        <v>1</v>
      </c>
      <c r="G8" s="107">
        <v>1018419</v>
      </c>
      <c r="H8" s="107">
        <v>0.31</v>
      </c>
      <c r="I8" s="107">
        <v>0.66</v>
      </c>
      <c r="J8" s="143">
        <v>0.44</v>
      </c>
      <c r="K8" s="107">
        <v>1.44</v>
      </c>
      <c r="L8" s="141">
        <v>0.38</v>
      </c>
      <c r="M8" s="107">
        <v>1.03</v>
      </c>
      <c r="N8" s="107">
        <v>0.91</v>
      </c>
      <c r="O8" s="107">
        <v>1.78</v>
      </c>
      <c r="P8" s="107">
        <v>2.4900000000000002</v>
      </c>
      <c r="Q8" s="107">
        <v>0.25</v>
      </c>
      <c r="R8" s="107">
        <v>2.0299999999999998</v>
      </c>
      <c r="S8" s="108">
        <v>0.38</v>
      </c>
      <c r="T8" s="129">
        <v>1</v>
      </c>
      <c r="U8" s="136">
        <f t="shared" si="0"/>
        <v>2000</v>
      </c>
      <c r="V8" s="136">
        <f t="shared" si="3"/>
        <v>1400</v>
      </c>
      <c r="W8" s="136">
        <f t="shared" si="3"/>
        <v>979.99999999999989</v>
      </c>
      <c r="X8" s="239">
        <f t="shared" si="4"/>
        <v>907.18474000000003</v>
      </c>
      <c r="Y8" s="239">
        <f t="shared" si="5"/>
        <v>635.02931799999999</v>
      </c>
      <c r="Z8" s="239">
        <f t="shared" si="6"/>
        <v>444.52052259999999</v>
      </c>
    </row>
    <row r="9" spans="1:26" x14ac:dyDescent="0.2">
      <c r="A9" s="105">
        <v>6</v>
      </c>
      <c r="B9" t="str">
        <f t="shared" si="1"/>
        <v>Crosby® G-209 CARBON 7/16"Screw pin Anchor Shackle WLL: 1.5 (t)</v>
      </c>
      <c r="C9" s="366">
        <v>6</v>
      </c>
      <c r="D9" t="str">
        <f t="shared" si="2"/>
        <v>7/16"CARBON Screw Pin Anchor (1.5 t)</v>
      </c>
      <c r="E9" s="90" t="s">
        <v>2036</v>
      </c>
      <c r="F9" s="109">
        <v>1.5</v>
      </c>
      <c r="G9" s="107">
        <v>1018437</v>
      </c>
      <c r="H9" s="107">
        <v>0.38</v>
      </c>
      <c r="I9" s="107">
        <v>0.75</v>
      </c>
      <c r="J9" s="143">
        <v>0.5</v>
      </c>
      <c r="K9" s="107">
        <v>1.69</v>
      </c>
      <c r="L9" s="141">
        <v>0.44</v>
      </c>
      <c r="M9" s="107">
        <v>1.1599999999999999</v>
      </c>
      <c r="N9" s="107">
        <v>1.06</v>
      </c>
      <c r="O9" s="107">
        <v>2.0299999999999998</v>
      </c>
      <c r="P9" s="107">
        <v>2.91</v>
      </c>
      <c r="Q9" s="107">
        <v>0.31</v>
      </c>
      <c r="R9" s="107">
        <v>2.38</v>
      </c>
      <c r="S9" s="108">
        <v>0.44</v>
      </c>
      <c r="T9" s="130">
        <v>1.5</v>
      </c>
      <c r="U9" s="136">
        <f t="shared" si="0"/>
        <v>3000</v>
      </c>
      <c r="V9" s="136">
        <f t="shared" si="3"/>
        <v>2100</v>
      </c>
      <c r="W9" s="136">
        <f t="shared" si="3"/>
        <v>1470</v>
      </c>
      <c r="X9" s="239">
        <f t="shared" si="4"/>
        <v>1360.77711</v>
      </c>
      <c r="Y9" s="239">
        <f t="shared" si="5"/>
        <v>952.54397700000004</v>
      </c>
      <c r="Z9" s="239">
        <f t="shared" si="6"/>
        <v>666.78078390000007</v>
      </c>
    </row>
    <row r="10" spans="1:26" x14ac:dyDescent="0.2">
      <c r="A10" s="105">
        <v>7</v>
      </c>
      <c r="B10" t="str">
        <f t="shared" si="1"/>
        <v>Crosby® G-209 CARBON 1/2"Screw pin Anchor Shackle WLL: 2 (t)</v>
      </c>
      <c r="C10" s="366">
        <v>7</v>
      </c>
      <c r="D10" t="str">
        <f t="shared" si="2"/>
        <v>1/2"CARBON Screw Pin Anchor (2 t)</v>
      </c>
      <c r="E10" s="90" t="s">
        <v>2037</v>
      </c>
      <c r="F10" s="109">
        <v>2</v>
      </c>
      <c r="G10" s="107">
        <v>1018455</v>
      </c>
      <c r="H10" s="107">
        <v>0.72</v>
      </c>
      <c r="I10" s="107">
        <v>0.81</v>
      </c>
      <c r="J10" s="143">
        <v>0.63</v>
      </c>
      <c r="K10" s="107">
        <v>1.88</v>
      </c>
      <c r="L10" s="141">
        <v>0.5</v>
      </c>
      <c r="M10" s="107">
        <v>1.31</v>
      </c>
      <c r="N10" s="107">
        <v>1.19</v>
      </c>
      <c r="O10" s="107">
        <v>2.31</v>
      </c>
      <c r="P10" s="107">
        <v>3.28</v>
      </c>
      <c r="Q10" s="107">
        <v>0.38</v>
      </c>
      <c r="R10" s="107">
        <v>2.69</v>
      </c>
      <c r="S10" s="108">
        <v>0.5</v>
      </c>
      <c r="T10" s="129">
        <v>2</v>
      </c>
      <c r="U10" s="136">
        <f t="shared" si="0"/>
        <v>4000</v>
      </c>
      <c r="V10" s="136">
        <f t="shared" si="3"/>
        <v>2800</v>
      </c>
      <c r="W10" s="136">
        <f t="shared" si="3"/>
        <v>1959.9999999999998</v>
      </c>
      <c r="X10" s="239">
        <f t="shared" si="4"/>
        <v>1814.3694800000001</v>
      </c>
      <c r="Y10" s="239">
        <f t="shared" si="5"/>
        <v>1270.058636</v>
      </c>
      <c r="Z10" s="239">
        <f t="shared" si="6"/>
        <v>889.04104519999999</v>
      </c>
    </row>
    <row r="11" spans="1:26" x14ac:dyDescent="0.2">
      <c r="A11" s="105">
        <v>8</v>
      </c>
      <c r="B11" t="str">
        <f t="shared" si="1"/>
        <v>Crosby® G-209 CARBON 5/8"Screw pin Anchor Shackle WLL: 3.25 (t)</v>
      </c>
      <c r="C11" s="366">
        <v>8</v>
      </c>
      <c r="D11" t="str">
        <f t="shared" si="2"/>
        <v>5/8"CARBON Screw Pin Anchor (3.25 t)</v>
      </c>
      <c r="E11" s="90" t="s">
        <v>2038</v>
      </c>
      <c r="F11" s="110">
        <v>3.25</v>
      </c>
      <c r="G11" s="107">
        <v>1018473</v>
      </c>
      <c r="H11" s="107">
        <v>1.37</v>
      </c>
      <c r="I11" s="107">
        <v>1.06</v>
      </c>
      <c r="J11" s="143">
        <v>0.75</v>
      </c>
      <c r="K11" s="107">
        <v>2.38</v>
      </c>
      <c r="L11" s="141">
        <v>0.63</v>
      </c>
      <c r="M11" s="107">
        <v>1.69</v>
      </c>
      <c r="N11" s="107">
        <v>1.5</v>
      </c>
      <c r="O11" s="107">
        <v>2.94</v>
      </c>
      <c r="P11" s="107">
        <v>4.1900000000000004</v>
      </c>
      <c r="Q11" s="107">
        <v>0.44</v>
      </c>
      <c r="R11" s="107">
        <v>3.34</v>
      </c>
      <c r="S11" s="108">
        <v>0.69</v>
      </c>
      <c r="T11" s="130">
        <v>3.25</v>
      </c>
      <c r="U11" s="136">
        <f t="shared" si="0"/>
        <v>6500</v>
      </c>
      <c r="V11" s="136">
        <f t="shared" si="3"/>
        <v>4550</v>
      </c>
      <c r="W11" s="136">
        <f t="shared" si="3"/>
        <v>3185</v>
      </c>
      <c r="X11" s="239">
        <f t="shared" si="4"/>
        <v>2948.3504050000001</v>
      </c>
      <c r="Y11" s="239">
        <f t="shared" si="5"/>
        <v>2063.8452835000003</v>
      </c>
      <c r="Z11" s="239">
        <f t="shared" si="6"/>
        <v>1444.6916984500001</v>
      </c>
    </row>
    <row r="12" spans="1:26" x14ac:dyDescent="0.2">
      <c r="A12" s="105">
        <v>9</v>
      </c>
      <c r="B12" t="str">
        <f t="shared" si="1"/>
        <v>Crosby® G-209 CARBON 3/4" Screw pin Anchor Shackle WLL: 4.75 (t)</v>
      </c>
      <c r="C12" s="366">
        <v>9</v>
      </c>
      <c r="D12" t="str">
        <f t="shared" si="2"/>
        <v>3/4" CARBON Screw Pin Anchor (4.75 t)</v>
      </c>
      <c r="E12" s="90" t="s">
        <v>150</v>
      </c>
      <c r="F12" s="110">
        <v>4.75</v>
      </c>
      <c r="G12" s="107">
        <v>1018491</v>
      </c>
      <c r="H12" s="107">
        <v>2.35</v>
      </c>
      <c r="I12" s="107">
        <v>1.25</v>
      </c>
      <c r="J12" s="143">
        <v>0.88</v>
      </c>
      <c r="K12" s="107">
        <v>2.81</v>
      </c>
      <c r="L12" s="141">
        <v>0.75</v>
      </c>
      <c r="M12" s="107">
        <v>2</v>
      </c>
      <c r="N12" s="107">
        <v>1.81</v>
      </c>
      <c r="O12" s="107">
        <v>3.5</v>
      </c>
      <c r="P12" s="107">
        <v>4.97</v>
      </c>
      <c r="Q12" s="107">
        <v>0.5</v>
      </c>
      <c r="R12" s="107">
        <v>3.97</v>
      </c>
      <c r="S12" s="108">
        <v>0.81</v>
      </c>
      <c r="T12" s="130">
        <v>4.75</v>
      </c>
      <c r="U12" s="136">
        <f t="shared" si="0"/>
        <v>9500</v>
      </c>
      <c r="V12" s="136">
        <f t="shared" si="3"/>
        <v>6650</v>
      </c>
      <c r="W12" s="136">
        <f t="shared" si="3"/>
        <v>4655</v>
      </c>
      <c r="X12" s="239">
        <f t="shared" si="4"/>
        <v>4309.1275150000001</v>
      </c>
      <c r="Y12" s="239">
        <f t="shared" si="5"/>
        <v>3016.3892605000001</v>
      </c>
      <c r="Z12" s="239">
        <f t="shared" si="6"/>
        <v>2111.4724823500001</v>
      </c>
    </row>
    <row r="13" spans="1:26" x14ac:dyDescent="0.2">
      <c r="A13" s="105">
        <v>10</v>
      </c>
      <c r="B13" t="str">
        <f t="shared" si="1"/>
        <v>Crosby® G-209 CARBON 7/8"Screw pin Anchor Shackle WLL: 6.5 (t)</v>
      </c>
      <c r="C13" s="366">
        <v>10</v>
      </c>
      <c r="D13" t="str">
        <f t="shared" si="2"/>
        <v>7/8"CARBON Screw Pin Anchor (6.5 t)</v>
      </c>
      <c r="E13" s="90" t="s">
        <v>2039</v>
      </c>
      <c r="F13" s="109">
        <v>6.5</v>
      </c>
      <c r="G13" s="107">
        <v>1018516</v>
      </c>
      <c r="H13" s="107">
        <v>3.62</v>
      </c>
      <c r="I13" s="107">
        <v>1.44</v>
      </c>
      <c r="J13" s="143">
        <v>1</v>
      </c>
      <c r="K13" s="107">
        <v>3.31</v>
      </c>
      <c r="L13" s="141">
        <v>0.88</v>
      </c>
      <c r="M13" s="107">
        <v>2.2799999999999998</v>
      </c>
      <c r="N13" s="107">
        <v>2.09</v>
      </c>
      <c r="O13" s="107">
        <v>4.03</v>
      </c>
      <c r="P13" s="107">
        <v>5.83</v>
      </c>
      <c r="Q13" s="107">
        <v>0.5</v>
      </c>
      <c r="R13" s="107">
        <v>4.5</v>
      </c>
      <c r="S13" s="108">
        <v>0.97</v>
      </c>
      <c r="T13" s="130">
        <v>6.5</v>
      </c>
      <c r="U13" s="136">
        <f t="shared" si="0"/>
        <v>13000</v>
      </c>
      <c r="V13" s="136">
        <f t="shared" si="3"/>
        <v>9100</v>
      </c>
      <c r="W13" s="136">
        <f t="shared" si="3"/>
        <v>6370</v>
      </c>
      <c r="X13" s="239">
        <f t="shared" si="4"/>
        <v>5896.7008100000003</v>
      </c>
      <c r="Y13" s="239">
        <f t="shared" si="5"/>
        <v>4127.6905670000006</v>
      </c>
      <c r="Z13" s="239">
        <f t="shared" si="6"/>
        <v>2889.3833969000002</v>
      </c>
    </row>
    <row r="14" spans="1:26" x14ac:dyDescent="0.2">
      <c r="A14" s="105">
        <v>11</v>
      </c>
      <c r="B14" t="str">
        <f t="shared" si="1"/>
        <v>Crosby® G-209 CARBON 1" Screw pin Anchor Shackle WLL: 8.5 (t)</v>
      </c>
      <c r="C14" s="366">
        <v>11</v>
      </c>
      <c r="D14" t="str">
        <f t="shared" si="2"/>
        <v>1" CARBON Screw Pin Anchor (8.5 t)</v>
      </c>
      <c r="E14" s="90" t="s">
        <v>151</v>
      </c>
      <c r="F14" s="109">
        <v>8.5</v>
      </c>
      <c r="G14" s="107">
        <v>1018534</v>
      </c>
      <c r="H14" s="107">
        <v>5.03</v>
      </c>
      <c r="I14" s="107">
        <v>1.69</v>
      </c>
      <c r="J14" s="143">
        <v>1.1299999999999999</v>
      </c>
      <c r="K14" s="107">
        <v>3.75</v>
      </c>
      <c r="L14" s="141">
        <v>1</v>
      </c>
      <c r="M14" s="107">
        <v>2.69</v>
      </c>
      <c r="N14" s="107">
        <v>2.38</v>
      </c>
      <c r="O14" s="107">
        <v>4.6900000000000004</v>
      </c>
      <c r="P14" s="107">
        <v>6.56</v>
      </c>
      <c r="Q14" s="107">
        <v>0.56000000000000005</v>
      </c>
      <c r="R14" s="107">
        <v>5.07</v>
      </c>
      <c r="S14" s="108">
        <v>1.06</v>
      </c>
      <c r="T14" s="130">
        <v>8.5</v>
      </c>
      <c r="U14" s="136">
        <f t="shared" si="0"/>
        <v>17000</v>
      </c>
      <c r="V14" s="136">
        <f t="shared" si="3"/>
        <v>11900</v>
      </c>
      <c r="W14" s="136">
        <f t="shared" si="3"/>
        <v>8330</v>
      </c>
      <c r="X14" s="239">
        <f t="shared" si="4"/>
        <v>7711.0702900000006</v>
      </c>
      <c r="Y14" s="239">
        <f t="shared" si="5"/>
        <v>5397.7492030000003</v>
      </c>
      <c r="Z14" s="239">
        <f t="shared" si="6"/>
        <v>3778.4244421000003</v>
      </c>
    </row>
    <row r="15" spans="1:26" x14ac:dyDescent="0.2">
      <c r="A15" s="105">
        <v>12</v>
      </c>
      <c r="B15" t="str">
        <f t="shared" si="1"/>
        <v>Crosby® G-209 CARBON 1-1/8"Screw pin Anchor Shackle WLL: 9.5 (t)</v>
      </c>
      <c r="C15" s="366">
        <v>12</v>
      </c>
      <c r="D15" t="str">
        <f t="shared" si="2"/>
        <v>1-1/8"CARBON Screw Pin Anchor (9.5 t)</v>
      </c>
      <c r="E15" s="90" t="s">
        <v>2040</v>
      </c>
      <c r="F15" s="109">
        <v>9.5</v>
      </c>
      <c r="G15" s="107">
        <v>1018552</v>
      </c>
      <c r="H15" s="107">
        <v>7.41</v>
      </c>
      <c r="I15" s="107">
        <v>1.81</v>
      </c>
      <c r="J15" s="143">
        <v>1.25</v>
      </c>
      <c r="K15" s="107">
        <v>4.25</v>
      </c>
      <c r="L15" s="141">
        <v>1.1599999999999999</v>
      </c>
      <c r="M15" s="107">
        <v>2.91</v>
      </c>
      <c r="N15" s="107">
        <v>2.69</v>
      </c>
      <c r="O15" s="107">
        <v>5.16</v>
      </c>
      <c r="P15" s="107">
        <v>7.47</v>
      </c>
      <c r="Q15" s="107">
        <v>0.63</v>
      </c>
      <c r="R15" s="107">
        <v>5.59</v>
      </c>
      <c r="S15" s="108">
        <v>1.25</v>
      </c>
      <c r="T15" s="130">
        <v>9.5</v>
      </c>
      <c r="U15" s="136">
        <f t="shared" si="0"/>
        <v>19000</v>
      </c>
      <c r="V15" s="136">
        <f t="shared" si="3"/>
        <v>13300</v>
      </c>
      <c r="W15" s="136">
        <f t="shared" si="3"/>
        <v>9310</v>
      </c>
      <c r="X15" s="239">
        <f t="shared" si="4"/>
        <v>8618.2550300000003</v>
      </c>
      <c r="Y15" s="239">
        <f t="shared" si="5"/>
        <v>6032.7785210000002</v>
      </c>
      <c r="Z15" s="239">
        <f t="shared" si="6"/>
        <v>4222.9449647000001</v>
      </c>
    </row>
    <row r="16" spans="1:26" x14ac:dyDescent="0.2">
      <c r="A16" s="105">
        <v>13</v>
      </c>
      <c r="B16" t="str">
        <f t="shared" si="1"/>
        <v>Crosby® G-209 CARBON 1-1/4"Screw pin Anchor Shackle WLL: 12 (t)</v>
      </c>
      <c r="C16" s="366">
        <v>13</v>
      </c>
      <c r="D16" t="str">
        <f t="shared" si="2"/>
        <v>1-1/4"CARBON Screw Pin Anchor (12 t)</v>
      </c>
      <c r="E16" s="90" t="s">
        <v>2041</v>
      </c>
      <c r="F16" s="109">
        <v>12</v>
      </c>
      <c r="G16" s="107">
        <v>1018570</v>
      </c>
      <c r="H16" s="107">
        <v>9.5</v>
      </c>
      <c r="I16" s="107">
        <v>2.0299999999999998</v>
      </c>
      <c r="J16" s="143">
        <v>1.38</v>
      </c>
      <c r="K16" s="107">
        <v>4.6900000000000004</v>
      </c>
      <c r="L16" s="141">
        <v>1.29</v>
      </c>
      <c r="M16" s="107">
        <v>3.25</v>
      </c>
      <c r="N16" s="107">
        <v>3</v>
      </c>
      <c r="O16" s="107">
        <v>5.75</v>
      </c>
      <c r="P16" s="107">
        <v>8.25</v>
      </c>
      <c r="Q16" s="107">
        <v>0.69</v>
      </c>
      <c r="R16" s="107">
        <v>6.16</v>
      </c>
      <c r="S16" s="108">
        <v>1.38</v>
      </c>
      <c r="T16" s="129">
        <v>12</v>
      </c>
      <c r="U16" s="136">
        <f t="shared" si="0"/>
        <v>24000</v>
      </c>
      <c r="V16" s="136">
        <f t="shared" si="3"/>
        <v>16800</v>
      </c>
      <c r="W16" s="136">
        <f t="shared" si="3"/>
        <v>11760</v>
      </c>
      <c r="X16" s="239">
        <f t="shared" si="4"/>
        <v>10886.21688</v>
      </c>
      <c r="Y16" s="239">
        <f t="shared" si="5"/>
        <v>7620.3518160000003</v>
      </c>
      <c r="Z16" s="239">
        <f t="shared" si="6"/>
        <v>5334.2462712000006</v>
      </c>
    </row>
    <row r="17" spans="1:31" x14ac:dyDescent="0.2">
      <c r="A17" s="105">
        <v>14</v>
      </c>
      <c r="B17" t="str">
        <f t="shared" si="1"/>
        <v>Crosby® G-209 CARBON 1-3/8" Screw pin Anchor Shackle WLL: 13.5 (t)</v>
      </c>
      <c r="C17" s="366">
        <v>14</v>
      </c>
      <c r="D17" t="str">
        <f t="shared" si="2"/>
        <v>1-3/8" CARBON Screw Pin Anchor (13.5 t)</v>
      </c>
      <c r="E17" s="90" t="s">
        <v>152</v>
      </c>
      <c r="F17" s="109">
        <v>13.5</v>
      </c>
      <c r="G17" s="107">
        <v>1018598</v>
      </c>
      <c r="H17" s="107">
        <v>13.53</v>
      </c>
      <c r="I17" s="107">
        <v>2.25</v>
      </c>
      <c r="J17" s="143">
        <v>1.5</v>
      </c>
      <c r="K17" s="107">
        <v>5.25</v>
      </c>
      <c r="L17" s="141">
        <v>1.42</v>
      </c>
      <c r="M17" s="107">
        <v>3.63</v>
      </c>
      <c r="N17" s="107">
        <v>3.31</v>
      </c>
      <c r="O17" s="107">
        <v>6.38</v>
      </c>
      <c r="P17" s="107">
        <v>9.16</v>
      </c>
      <c r="Q17" s="107">
        <v>0.75</v>
      </c>
      <c r="R17" s="107">
        <v>6.84</v>
      </c>
      <c r="S17" s="108">
        <v>1.5</v>
      </c>
      <c r="T17" s="130">
        <v>13.5</v>
      </c>
      <c r="U17" s="136">
        <f t="shared" si="0"/>
        <v>27000</v>
      </c>
      <c r="V17" s="136">
        <f t="shared" si="3"/>
        <v>18900</v>
      </c>
      <c r="W17" s="136">
        <f t="shared" si="3"/>
        <v>13230</v>
      </c>
      <c r="X17" s="239">
        <f t="shared" si="4"/>
        <v>12246.993990000001</v>
      </c>
      <c r="Y17" s="239">
        <f t="shared" si="5"/>
        <v>8572.8957929999997</v>
      </c>
      <c r="Z17" s="239">
        <f t="shared" si="6"/>
        <v>6001.0270551000003</v>
      </c>
    </row>
    <row r="18" spans="1:31" x14ac:dyDescent="0.2">
      <c r="A18" s="105">
        <v>15</v>
      </c>
      <c r="B18" t="str">
        <f t="shared" si="1"/>
        <v>Crosby® G-209 CARBON 1-1/2"Screw pin Anchor Shackle WLL: 17 (t)</v>
      </c>
      <c r="C18" s="366">
        <v>15</v>
      </c>
      <c r="D18" t="str">
        <f t="shared" si="2"/>
        <v>1-1/2"CARBON Screw Pin Anchor (17 t)</v>
      </c>
      <c r="E18" s="90" t="s">
        <v>2042</v>
      </c>
      <c r="F18" s="109">
        <v>17</v>
      </c>
      <c r="G18" s="107">
        <v>1018614</v>
      </c>
      <c r="H18" s="107">
        <v>17.2</v>
      </c>
      <c r="I18" s="107">
        <v>2.38</v>
      </c>
      <c r="J18" s="143">
        <v>1.63</v>
      </c>
      <c r="K18" s="107">
        <v>5.75</v>
      </c>
      <c r="L18" s="141">
        <v>1.54</v>
      </c>
      <c r="M18" s="107">
        <v>3.88</v>
      </c>
      <c r="N18" s="107">
        <v>3.63</v>
      </c>
      <c r="O18" s="107">
        <v>6.88</v>
      </c>
      <c r="P18" s="107">
        <v>10</v>
      </c>
      <c r="Q18" s="107">
        <v>0.81</v>
      </c>
      <c r="R18" s="107">
        <v>7.35</v>
      </c>
      <c r="S18" s="108">
        <v>1.62</v>
      </c>
      <c r="T18" s="129">
        <v>17</v>
      </c>
      <c r="U18" s="136">
        <f t="shared" si="0"/>
        <v>34000</v>
      </c>
      <c r="V18" s="136">
        <f t="shared" si="3"/>
        <v>23800</v>
      </c>
      <c r="W18" s="136">
        <f t="shared" si="3"/>
        <v>16660</v>
      </c>
      <c r="X18" s="239">
        <f t="shared" si="4"/>
        <v>15422.140580000001</v>
      </c>
      <c r="Y18" s="239">
        <f t="shared" si="5"/>
        <v>10795.498406000001</v>
      </c>
      <c r="Z18" s="239">
        <f t="shared" si="6"/>
        <v>7556.8488842000006</v>
      </c>
    </row>
    <row r="19" spans="1:31" x14ac:dyDescent="0.2">
      <c r="A19" s="105">
        <v>16</v>
      </c>
      <c r="B19" t="str">
        <f t="shared" si="1"/>
        <v>Crosby® G-209 CARBON 1-3/4" Screw pin Anchor Shackle WLL: 25 (t)</v>
      </c>
      <c r="C19" s="366">
        <v>16</v>
      </c>
      <c r="D19" t="str">
        <f t="shared" si="2"/>
        <v>1-3/4" CARBON Screw Pin Anchor (25 t)</v>
      </c>
      <c r="E19" s="90" t="s">
        <v>153</v>
      </c>
      <c r="F19" s="109">
        <v>25</v>
      </c>
      <c r="G19" s="107">
        <v>1018632</v>
      </c>
      <c r="H19" s="107">
        <v>27.78</v>
      </c>
      <c r="I19" s="107">
        <v>2.88</v>
      </c>
      <c r="J19" s="143">
        <v>2</v>
      </c>
      <c r="K19" s="107">
        <v>7</v>
      </c>
      <c r="L19" s="141">
        <v>1.84</v>
      </c>
      <c r="M19" s="107">
        <v>5</v>
      </c>
      <c r="N19" s="107">
        <v>4.1900000000000004</v>
      </c>
      <c r="O19" s="107">
        <v>8.86</v>
      </c>
      <c r="P19" s="107">
        <v>12.34</v>
      </c>
      <c r="Q19" s="107">
        <v>1</v>
      </c>
      <c r="R19" s="107">
        <v>9.08</v>
      </c>
      <c r="S19" s="108">
        <v>2.25</v>
      </c>
      <c r="T19" s="129">
        <v>25</v>
      </c>
      <c r="U19" s="136">
        <f t="shared" si="0"/>
        <v>50000</v>
      </c>
      <c r="V19" s="136">
        <f t="shared" si="3"/>
        <v>35000</v>
      </c>
      <c r="W19" s="136">
        <f t="shared" si="3"/>
        <v>24500</v>
      </c>
      <c r="X19" s="239">
        <f t="shared" si="4"/>
        <v>22679.6185</v>
      </c>
      <c r="Y19" s="239">
        <f t="shared" si="5"/>
        <v>15875.732950000001</v>
      </c>
      <c r="Z19" s="239">
        <f t="shared" si="6"/>
        <v>11113.013065000001</v>
      </c>
    </row>
    <row r="20" spans="1:31" x14ac:dyDescent="0.2">
      <c r="A20" s="105">
        <v>17</v>
      </c>
      <c r="B20" t="str">
        <f t="shared" si="1"/>
        <v>Crosby® G-209 CARBON 2" Screw pin Anchor Shackle WLL: 35 (t)</v>
      </c>
      <c r="C20" s="366">
        <v>17</v>
      </c>
      <c r="D20" t="str">
        <f t="shared" si="2"/>
        <v>2" CARBON Screw Pin Anchor (35 t)</v>
      </c>
      <c r="E20" s="90" t="s">
        <v>154</v>
      </c>
      <c r="F20" s="109">
        <v>35</v>
      </c>
      <c r="G20" s="107">
        <v>1018650</v>
      </c>
      <c r="H20" s="107">
        <v>45</v>
      </c>
      <c r="I20" s="107">
        <v>3.25</v>
      </c>
      <c r="J20" s="143">
        <v>2.25</v>
      </c>
      <c r="K20" s="107">
        <v>7.75</v>
      </c>
      <c r="L20" s="141">
        <v>2.08</v>
      </c>
      <c r="M20" s="107">
        <v>5.75</v>
      </c>
      <c r="N20" s="107">
        <v>4.8099999999999996</v>
      </c>
      <c r="O20" s="107">
        <v>9.9700000000000006</v>
      </c>
      <c r="P20" s="107">
        <v>13.68</v>
      </c>
      <c r="Q20" s="107">
        <v>1.22</v>
      </c>
      <c r="R20" s="107">
        <v>10.34</v>
      </c>
      <c r="S20" s="108">
        <v>2.4</v>
      </c>
      <c r="T20" s="129">
        <v>35</v>
      </c>
      <c r="U20" s="136">
        <f t="shared" si="0"/>
        <v>70000</v>
      </c>
      <c r="V20" s="136">
        <f t="shared" si="3"/>
        <v>49000</v>
      </c>
      <c r="W20" s="136">
        <f t="shared" si="3"/>
        <v>34300</v>
      </c>
      <c r="X20" s="239">
        <f t="shared" si="4"/>
        <v>31751.465900000003</v>
      </c>
      <c r="Y20" s="239">
        <f t="shared" si="5"/>
        <v>22226.026130000002</v>
      </c>
      <c r="Z20" s="239">
        <f t="shared" si="6"/>
        <v>15558.218291000001</v>
      </c>
    </row>
    <row r="21" spans="1:31" x14ac:dyDescent="0.2">
      <c r="A21" s="105">
        <v>18</v>
      </c>
      <c r="B21" t="str">
        <f t="shared" si="1"/>
        <v>Crosby® G-209 CARBON 2-1/2" Screw pin Anchor Shackle WLL: 55 (t)</v>
      </c>
      <c r="C21" s="366">
        <v>18</v>
      </c>
      <c r="D21" t="str">
        <f t="shared" si="2"/>
        <v>2-1/2" CARBON Screw Pin Anchor (55 t)</v>
      </c>
      <c r="E21" s="90" t="s">
        <v>155</v>
      </c>
      <c r="F21" s="109">
        <v>55</v>
      </c>
      <c r="G21" s="107">
        <v>1018678</v>
      </c>
      <c r="H21" s="107">
        <v>85.75</v>
      </c>
      <c r="I21" s="107">
        <v>4.13</v>
      </c>
      <c r="J21" s="143">
        <v>2.75</v>
      </c>
      <c r="K21" s="107">
        <v>10.5</v>
      </c>
      <c r="L21" s="141">
        <v>2.71</v>
      </c>
      <c r="M21" s="107">
        <v>7.25</v>
      </c>
      <c r="N21" s="107">
        <v>5.69</v>
      </c>
      <c r="O21" s="107">
        <v>12.87</v>
      </c>
      <c r="P21" s="107">
        <v>17.84</v>
      </c>
      <c r="Q21" s="107">
        <v>1.38</v>
      </c>
      <c r="R21" s="107">
        <v>13</v>
      </c>
      <c r="S21" s="591">
        <v>3.13</v>
      </c>
      <c r="T21" s="129">
        <v>55</v>
      </c>
      <c r="U21" s="136">
        <f t="shared" si="0"/>
        <v>110000</v>
      </c>
      <c r="V21" s="136">
        <f t="shared" si="3"/>
        <v>77000</v>
      </c>
      <c r="W21" s="136">
        <f t="shared" si="3"/>
        <v>53900</v>
      </c>
      <c r="X21" s="239">
        <f t="shared" si="4"/>
        <v>49895.1607</v>
      </c>
      <c r="Y21" s="239">
        <f t="shared" si="5"/>
        <v>34926.61249</v>
      </c>
      <c r="Z21" s="239">
        <f t="shared" si="6"/>
        <v>24448.628743000001</v>
      </c>
    </row>
    <row r="22" spans="1:31" x14ac:dyDescent="0.2">
      <c r="A22" s="105">
        <v>19</v>
      </c>
      <c r="B22" s="1" t="s">
        <v>256</v>
      </c>
      <c r="C22" s="366">
        <v>19</v>
      </c>
      <c r="D22" s="170" t="s">
        <v>279</v>
      </c>
      <c r="E22" s="100"/>
      <c r="F22" s="101"/>
      <c r="G22" s="102"/>
      <c r="H22" s="100"/>
      <c r="I22" s="102" t="s">
        <v>1994</v>
      </c>
      <c r="J22" s="142" t="s">
        <v>2018</v>
      </c>
      <c r="K22" s="111" t="s">
        <v>1993</v>
      </c>
      <c r="L22" s="140" t="s">
        <v>146</v>
      </c>
      <c r="M22" s="102" t="s">
        <v>144</v>
      </c>
      <c r="N22" s="102"/>
      <c r="O22" s="102" t="s">
        <v>2032</v>
      </c>
      <c r="P22" s="102" t="s">
        <v>156</v>
      </c>
      <c r="Q22" s="102"/>
      <c r="R22" s="103" t="s">
        <v>147</v>
      </c>
      <c r="S22" s="592" t="s">
        <v>1807</v>
      </c>
      <c r="T22" s="590" t="s">
        <v>167</v>
      </c>
      <c r="U22" s="131" t="s">
        <v>2014</v>
      </c>
      <c r="V22" s="131" t="s">
        <v>2050</v>
      </c>
      <c r="W22" s="131" t="s">
        <v>2049</v>
      </c>
    </row>
    <row r="23" spans="1:31" x14ac:dyDescent="0.2">
      <c r="A23" s="105">
        <v>20</v>
      </c>
      <c r="B23" t="str">
        <f>CONCATENATE("Crosby® S-281 Sling Saver ",E23," WLL: ",T23," (t)")</f>
        <v>Crosby® S-281 Sling Saver Web 2" (RS# 2) WLL:  3-1/4 (t)</v>
      </c>
      <c r="C23" s="366">
        <v>20</v>
      </c>
      <c r="D23" t="str">
        <f>CONCATENATE(E23," Web Sling Shackle (",T23," t)")</f>
        <v>Web 2" (RS# 2) Web Sling Shackle ( 3-1/4 t)</v>
      </c>
      <c r="E23" s="90" t="s">
        <v>1041</v>
      </c>
      <c r="F23" s="109">
        <v>3.25</v>
      </c>
      <c r="G23" s="107">
        <v>1021048</v>
      </c>
      <c r="H23" s="107">
        <v>1.2</v>
      </c>
      <c r="I23" s="107">
        <v>1.06</v>
      </c>
      <c r="J23" s="143">
        <v>0.75</v>
      </c>
      <c r="K23" s="107">
        <v>2.5</v>
      </c>
      <c r="L23" s="141"/>
      <c r="M23" s="107">
        <v>1.62</v>
      </c>
      <c r="N23" s="107"/>
      <c r="O23" s="107"/>
      <c r="P23" s="107">
        <v>1.22</v>
      </c>
      <c r="Q23" s="107"/>
      <c r="R23" s="108">
        <v>3.84</v>
      </c>
      <c r="S23" s="593">
        <v>1</v>
      </c>
      <c r="T23" s="135" t="s">
        <v>1037</v>
      </c>
      <c r="U23" s="136">
        <f t="shared" ref="U23:U38" si="7">F23*2000</f>
        <v>6500</v>
      </c>
      <c r="V23" s="363" t="s">
        <v>1042</v>
      </c>
      <c r="W23" s="363" t="s">
        <v>1042</v>
      </c>
      <c r="AB23" t="s">
        <v>1035</v>
      </c>
      <c r="AE23" t="s">
        <v>1036</v>
      </c>
    </row>
    <row r="24" spans="1:31" x14ac:dyDescent="0.2">
      <c r="A24" s="105">
        <v>21</v>
      </c>
      <c r="B24" t="str">
        <f>CONCATENATE("Crosby® S-281 Sling Saver ",E24," WLL: ",T24," (t)")</f>
        <v>Crosby® S-281 Sling Saver Web 3" (RS # 3) WLL:  4-1/2 (t)</v>
      </c>
      <c r="C24" s="366">
        <v>21</v>
      </c>
      <c r="D24" t="str">
        <f t="shared" ref="D24:D33" si="8">CONCATENATE(E24," Web Sling Shackle (",T24," t)")</f>
        <v>Web 3" (RS # 3) Web Sling Shackle ( 4-1/2 t)</v>
      </c>
      <c r="E24" s="90" t="s">
        <v>1039</v>
      </c>
      <c r="F24" s="110">
        <v>4.5</v>
      </c>
      <c r="G24" s="107">
        <v>1021057</v>
      </c>
      <c r="H24" s="107">
        <v>1.5</v>
      </c>
      <c r="I24" s="107">
        <v>1.25</v>
      </c>
      <c r="J24" s="143">
        <v>0.88</v>
      </c>
      <c r="K24" s="107">
        <v>2</v>
      </c>
      <c r="L24" s="141"/>
      <c r="M24" s="107">
        <v>1.5</v>
      </c>
      <c r="N24" s="107"/>
      <c r="O24" s="107"/>
      <c r="P24" s="107">
        <v>1.41</v>
      </c>
      <c r="Q24" s="107"/>
      <c r="R24" s="108">
        <v>3.38</v>
      </c>
      <c r="S24" s="593">
        <v>2</v>
      </c>
      <c r="T24" s="135" t="s">
        <v>1043</v>
      </c>
      <c r="U24" s="136">
        <f t="shared" si="7"/>
        <v>9000</v>
      </c>
      <c r="V24" s="363" t="s">
        <v>1042</v>
      </c>
      <c r="W24" s="363" t="s">
        <v>1042</v>
      </c>
    </row>
    <row r="25" spans="1:31" x14ac:dyDescent="0.2">
      <c r="A25" s="105">
        <v>22</v>
      </c>
      <c r="B25" t="str">
        <f>CONCATENATE("Crosby® S-281 Sling Saver ",E25," WLL: ",T25," (t)")</f>
        <v>Crosby® S-281 Sling Saver Web 4" (RS #4) WLL:  6-1/4 (t)</v>
      </c>
      <c r="C25" s="366">
        <v>22</v>
      </c>
      <c r="D25" t="str">
        <f t="shared" si="8"/>
        <v>Web 4" (RS #4) Web Sling Shackle ( 6-1/4 t)</v>
      </c>
      <c r="E25" s="90" t="s">
        <v>1038</v>
      </c>
      <c r="F25" s="109">
        <v>6.25</v>
      </c>
      <c r="G25" s="107">
        <v>1021066</v>
      </c>
      <c r="H25" s="107">
        <v>2.5</v>
      </c>
      <c r="I25" s="107">
        <v>1.44</v>
      </c>
      <c r="J25" s="143">
        <v>1</v>
      </c>
      <c r="K25" s="107">
        <v>2.5</v>
      </c>
      <c r="L25" s="141"/>
      <c r="M25" s="107">
        <v>2</v>
      </c>
      <c r="N25" s="107"/>
      <c r="O25" s="107"/>
      <c r="P25" s="107">
        <v>1.62</v>
      </c>
      <c r="Q25" s="107"/>
      <c r="R25" s="108">
        <v>4.22</v>
      </c>
      <c r="S25" s="593">
        <v>3</v>
      </c>
      <c r="T25" s="135" t="s">
        <v>1058</v>
      </c>
      <c r="U25" s="136">
        <f t="shared" si="7"/>
        <v>12500</v>
      </c>
      <c r="V25" s="363" t="s">
        <v>1042</v>
      </c>
      <c r="W25" s="363" t="s">
        <v>1042</v>
      </c>
    </row>
    <row r="26" spans="1:31" x14ac:dyDescent="0.2">
      <c r="A26" s="105">
        <v>23</v>
      </c>
      <c r="B26" t="str">
        <f>CONCATENATE("Crosby® S-281 Sling Saver ",E26," WLL: ",T26," (t)")</f>
        <v>Crosby® S-281 Sling Saver Web 6" (RS #6) WLL:  8-1/2 (t)</v>
      </c>
      <c r="C26" s="366">
        <v>23</v>
      </c>
      <c r="D26" t="str">
        <f t="shared" si="8"/>
        <v>Web 6" (RS #6) Web Sling Shackle ( 8-1/2 t)</v>
      </c>
      <c r="E26" s="90" t="s">
        <v>1040</v>
      </c>
      <c r="F26" s="109">
        <v>8.5</v>
      </c>
      <c r="G26" s="107">
        <v>1021075</v>
      </c>
      <c r="H26" s="107">
        <v>4.3</v>
      </c>
      <c r="I26" s="107">
        <v>1.69</v>
      </c>
      <c r="J26" s="143">
        <v>1.1299999999999999</v>
      </c>
      <c r="K26" s="107">
        <v>3.62</v>
      </c>
      <c r="L26" s="141"/>
      <c r="M26" s="107">
        <v>2.75</v>
      </c>
      <c r="N26" s="107"/>
      <c r="O26" s="107"/>
      <c r="P26" s="107">
        <v>1.84</v>
      </c>
      <c r="Q26" s="107"/>
      <c r="R26" s="108">
        <v>5.64</v>
      </c>
      <c r="S26" s="593">
        <v>4</v>
      </c>
      <c r="T26" s="135" t="s">
        <v>1059</v>
      </c>
      <c r="U26" s="136">
        <f t="shared" si="7"/>
        <v>17000</v>
      </c>
      <c r="V26" s="363" t="s">
        <v>1042</v>
      </c>
      <c r="W26" s="363" t="s">
        <v>1042</v>
      </c>
    </row>
    <row r="27" spans="1:31" x14ac:dyDescent="0.2">
      <c r="A27" s="105">
        <v>24</v>
      </c>
      <c r="B27" t="str">
        <f>CONCATENATE("Crosby® S-253 Sling Saver ",E27," WLL: ",T27," (t)")</f>
        <v>Crosby® S-253 Sling Saver Web 1" (RS# 1&amp;2) WLL:  3-1/4 (t)</v>
      </c>
      <c r="C27" s="366">
        <v>24</v>
      </c>
      <c r="D27" t="str">
        <f t="shared" si="8"/>
        <v>Web 1" (RS# 1&amp;2) Web Sling Shackle ( 3-1/4 t)</v>
      </c>
      <c r="E27" s="90" t="s">
        <v>1060</v>
      </c>
      <c r="F27" s="109">
        <v>3.25</v>
      </c>
      <c r="G27" s="107">
        <v>1020575</v>
      </c>
      <c r="H27" s="107">
        <v>1.4</v>
      </c>
      <c r="I27" s="107">
        <v>0.88</v>
      </c>
      <c r="J27" s="143">
        <v>0.75</v>
      </c>
      <c r="K27" s="107">
        <v>1.38</v>
      </c>
      <c r="L27" s="141">
        <v>0.75</v>
      </c>
      <c r="M27" s="107">
        <v>1.5</v>
      </c>
      <c r="N27" s="107"/>
      <c r="O27" s="107">
        <v>3.38</v>
      </c>
      <c r="P27" s="107">
        <v>1.5</v>
      </c>
      <c r="Q27" s="107"/>
      <c r="R27" s="108">
        <v>2.69</v>
      </c>
      <c r="S27" s="593">
        <v>5</v>
      </c>
      <c r="T27" s="135" t="s">
        <v>1037</v>
      </c>
      <c r="U27" s="136">
        <f t="shared" si="7"/>
        <v>6500</v>
      </c>
      <c r="V27" s="363" t="s">
        <v>1042</v>
      </c>
      <c r="W27" s="363" t="s">
        <v>1042</v>
      </c>
    </row>
    <row r="28" spans="1:31" x14ac:dyDescent="0.2">
      <c r="A28" s="105">
        <v>25</v>
      </c>
      <c r="B28" t="str">
        <f t="shared" ref="B28:B33" si="9">CONCATENATE("Crosby® S-253 Sling Saver ",E28," WLL: ",T28," (t)")</f>
        <v>Crosby® S-253 Sling Saver Web 1.5" (RS# 3&amp;4) WLL:  6-1/2 (t)</v>
      </c>
      <c r="C28" s="366">
        <v>25</v>
      </c>
      <c r="D28" t="str">
        <f t="shared" si="8"/>
        <v>Web 1.5" (RS# 3&amp;4) Web Sling Shackle ( 6-1/2 t)</v>
      </c>
      <c r="E28" s="90" t="s">
        <v>1061</v>
      </c>
      <c r="F28" s="110">
        <v>6.5</v>
      </c>
      <c r="G28" s="107">
        <v>1020584</v>
      </c>
      <c r="H28" s="107">
        <v>2.2000000000000002</v>
      </c>
      <c r="I28" s="107">
        <v>1.25</v>
      </c>
      <c r="J28" s="143">
        <v>0.88</v>
      </c>
      <c r="K28" s="107">
        <v>1.75</v>
      </c>
      <c r="L28" s="141">
        <v>1</v>
      </c>
      <c r="M28" s="107">
        <v>1.88</v>
      </c>
      <c r="N28" s="107"/>
      <c r="O28" s="107">
        <v>4.1500000000000004</v>
      </c>
      <c r="P28" s="107">
        <v>1.81</v>
      </c>
      <c r="Q28" s="107"/>
      <c r="R28" s="108">
        <v>3.38</v>
      </c>
      <c r="S28" s="593">
        <v>6</v>
      </c>
      <c r="T28" s="135" t="s">
        <v>1067</v>
      </c>
      <c r="U28" s="136">
        <f t="shared" si="7"/>
        <v>13000</v>
      </c>
      <c r="V28" s="363" t="s">
        <v>1042</v>
      </c>
      <c r="W28" s="363" t="s">
        <v>1042</v>
      </c>
    </row>
    <row r="29" spans="1:31" x14ac:dyDescent="0.2">
      <c r="A29" s="105">
        <v>26</v>
      </c>
      <c r="B29" t="str">
        <f t="shared" si="9"/>
        <v>Crosby® S-253 Sling Saver Web 2" (RS# 5&amp;6) WLL:  8-3/4 (t)</v>
      </c>
      <c r="C29" s="366">
        <v>26</v>
      </c>
      <c r="D29" t="str">
        <f t="shared" si="8"/>
        <v>Web 2" (RS# 5&amp;6) Web Sling Shackle ( 8-3/4 t)</v>
      </c>
      <c r="E29" s="90" t="s">
        <v>1062</v>
      </c>
      <c r="F29" s="110">
        <v>8.75</v>
      </c>
      <c r="G29" s="107">
        <v>1020593</v>
      </c>
      <c r="H29" s="107">
        <v>3.8</v>
      </c>
      <c r="I29" s="107">
        <v>1.38</v>
      </c>
      <c r="J29" s="143">
        <v>1</v>
      </c>
      <c r="K29" s="107">
        <v>2.25</v>
      </c>
      <c r="L29" s="141">
        <v>1.1200000000000001</v>
      </c>
      <c r="M29" s="107">
        <v>2.81</v>
      </c>
      <c r="N29" s="107"/>
      <c r="O29" s="107">
        <v>5.5</v>
      </c>
      <c r="P29" s="107">
        <v>2.09</v>
      </c>
      <c r="Q29" s="107"/>
      <c r="R29" s="108">
        <v>4.1900000000000004</v>
      </c>
      <c r="S29" s="593">
        <v>7</v>
      </c>
      <c r="T29" s="135" t="s">
        <v>1068</v>
      </c>
      <c r="U29" s="136">
        <f t="shared" si="7"/>
        <v>17500</v>
      </c>
      <c r="V29" s="363" t="s">
        <v>1042</v>
      </c>
      <c r="W29" s="363" t="s">
        <v>1042</v>
      </c>
    </row>
    <row r="30" spans="1:31" x14ac:dyDescent="0.2">
      <c r="A30" s="105">
        <v>27</v>
      </c>
      <c r="B30" t="str">
        <f t="shared" si="9"/>
        <v>Crosby® S-253 Sling Saver Web 3" (RS# 7&amp;8) WLL:  12-1/2 (t)</v>
      </c>
      <c r="C30" s="366">
        <v>27</v>
      </c>
      <c r="D30" t="str">
        <f t="shared" si="8"/>
        <v>Web 3" (RS# 7&amp;8) Web Sling Shackle ( 12-1/2 t)</v>
      </c>
      <c r="E30" s="90" t="s">
        <v>1063</v>
      </c>
      <c r="F30" s="109">
        <v>12.5</v>
      </c>
      <c r="G30" s="107">
        <v>1020602</v>
      </c>
      <c r="H30" s="107">
        <v>7.3</v>
      </c>
      <c r="I30" s="107">
        <v>1.62</v>
      </c>
      <c r="J30" s="143">
        <v>1.25</v>
      </c>
      <c r="K30" s="107">
        <v>3.25</v>
      </c>
      <c r="L30" s="141">
        <v>1.38</v>
      </c>
      <c r="M30" s="107">
        <v>3.06</v>
      </c>
      <c r="N30" s="107"/>
      <c r="O30" s="107">
        <v>6.34</v>
      </c>
      <c r="P30" s="107">
        <v>2.62</v>
      </c>
      <c r="Q30" s="107"/>
      <c r="R30" s="108">
        <v>5.62</v>
      </c>
      <c r="S30" s="593">
        <v>8</v>
      </c>
      <c r="T30" s="135" t="s">
        <v>1069</v>
      </c>
      <c r="U30" s="136">
        <f t="shared" si="7"/>
        <v>25000</v>
      </c>
      <c r="V30" s="363" t="s">
        <v>1042</v>
      </c>
      <c r="W30" s="363" t="s">
        <v>1042</v>
      </c>
    </row>
    <row r="31" spans="1:31" x14ac:dyDescent="0.2">
      <c r="A31" s="105">
        <v>28</v>
      </c>
      <c r="B31" t="str">
        <f t="shared" si="9"/>
        <v>Crosby® S-253 Sling Saver Web 4" (RS# 9&amp;10) WLL:  20-1/2 (t)</v>
      </c>
      <c r="C31" s="366">
        <v>28</v>
      </c>
      <c r="D31" t="str">
        <f t="shared" si="8"/>
        <v>Web 4" (RS# 9&amp;10) Web Sling Shackle ( 20-1/2 t)</v>
      </c>
      <c r="E31" s="90" t="s">
        <v>1064</v>
      </c>
      <c r="F31" s="109">
        <v>20.5</v>
      </c>
      <c r="G31" s="107">
        <v>1020611</v>
      </c>
      <c r="H31" s="107">
        <v>15.2</v>
      </c>
      <c r="I31" s="107">
        <v>2.12</v>
      </c>
      <c r="J31" s="143">
        <v>1.5</v>
      </c>
      <c r="K31" s="107">
        <v>4.5</v>
      </c>
      <c r="L31" s="141">
        <v>1.75</v>
      </c>
      <c r="M31" s="107">
        <v>5.75</v>
      </c>
      <c r="N31" s="107"/>
      <c r="O31" s="107">
        <v>9.75</v>
      </c>
      <c r="P31" s="107">
        <v>3.12</v>
      </c>
      <c r="Q31" s="107"/>
      <c r="R31" s="108">
        <v>7.5</v>
      </c>
      <c r="S31" s="593">
        <v>9</v>
      </c>
      <c r="T31" s="135" t="s">
        <v>1070</v>
      </c>
      <c r="U31" s="136">
        <f t="shared" si="7"/>
        <v>41000</v>
      </c>
      <c r="V31" s="363" t="s">
        <v>1042</v>
      </c>
      <c r="W31" s="363" t="s">
        <v>1042</v>
      </c>
    </row>
    <row r="32" spans="1:31" x14ac:dyDescent="0.2">
      <c r="A32" s="105">
        <v>29</v>
      </c>
      <c r="B32" t="str">
        <f t="shared" si="9"/>
        <v>Crosby® S-253 Sling Saver Web 5" (RS# 11&amp;12) WLL: 35 (t)</v>
      </c>
      <c r="C32" s="366">
        <v>29</v>
      </c>
      <c r="D32" t="str">
        <f t="shared" si="8"/>
        <v>Web 5" (RS# 11&amp;12) Web Sling Shackle (35 t)</v>
      </c>
      <c r="E32" s="90" t="s">
        <v>1065</v>
      </c>
      <c r="F32" s="109">
        <v>35</v>
      </c>
      <c r="G32" s="107">
        <v>1020620</v>
      </c>
      <c r="H32" s="107">
        <v>30.8</v>
      </c>
      <c r="I32" s="107">
        <v>2.5</v>
      </c>
      <c r="J32" s="143">
        <v>2</v>
      </c>
      <c r="K32" s="107">
        <v>5.5</v>
      </c>
      <c r="L32" s="141">
        <v>2.25</v>
      </c>
      <c r="M32" s="107">
        <v>6.34</v>
      </c>
      <c r="N32" s="107"/>
      <c r="O32" s="107">
        <v>11.5</v>
      </c>
      <c r="P32" s="107">
        <v>4.1900000000000004</v>
      </c>
      <c r="Q32" s="107"/>
      <c r="R32" s="108">
        <v>9.19</v>
      </c>
      <c r="S32" s="593">
        <v>10</v>
      </c>
      <c r="T32" s="157">
        <v>35</v>
      </c>
      <c r="U32" s="136">
        <f t="shared" si="7"/>
        <v>70000</v>
      </c>
      <c r="V32" s="363" t="s">
        <v>1042</v>
      </c>
      <c r="W32" s="363" t="s">
        <v>1042</v>
      </c>
    </row>
    <row r="33" spans="1:26" x14ac:dyDescent="0.2">
      <c r="A33" s="105">
        <v>30</v>
      </c>
      <c r="B33" t="str">
        <f t="shared" si="9"/>
        <v>Crosby® S-253 Sling Saver Web 6" (RS# 13) WLL: 50 (t)</v>
      </c>
      <c r="C33" s="366">
        <v>30</v>
      </c>
      <c r="D33" t="str">
        <f t="shared" si="8"/>
        <v>Web 6" (RS# 13) Web Sling Shackle (50 t)</v>
      </c>
      <c r="E33" s="90" t="s">
        <v>1066</v>
      </c>
      <c r="F33" s="109">
        <v>50</v>
      </c>
      <c r="G33" s="107">
        <v>1020629</v>
      </c>
      <c r="H33" s="107">
        <v>52</v>
      </c>
      <c r="I33" s="107">
        <v>3</v>
      </c>
      <c r="J33" s="143">
        <v>2.25</v>
      </c>
      <c r="K33" s="107">
        <v>6.5</v>
      </c>
      <c r="L33" s="141">
        <v>2.75</v>
      </c>
      <c r="M33" s="107">
        <v>7.7</v>
      </c>
      <c r="N33" s="107"/>
      <c r="O33" s="107">
        <v>13.75</v>
      </c>
      <c r="P33" s="107">
        <v>4.75</v>
      </c>
      <c r="Q33" s="107"/>
      <c r="R33" s="108">
        <v>11</v>
      </c>
      <c r="S33" s="593">
        <v>11</v>
      </c>
      <c r="T33" s="135">
        <v>50</v>
      </c>
      <c r="U33" s="136">
        <f t="shared" si="7"/>
        <v>100000</v>
      </c>
      <c r="V33" s="363" t="s">
        <v>1042</v>
      </c>
      <c r="W33" s="363" t="s">
        <v>1042</v>
      </c>
    </row>
    <row r="34" spans="1:26" x14ac:dyDescent="0.2">
      <c r="A34" s="105">
        <v>31</v>
      </c>
      <c r="C34" s="366">
        <v>31</v>
      </c>
      <c r="E34" s="90"/>
      <c r="F34" s="109"/>
      <c r="G34" s="107"/>
      <c r="H34" s="107"/>
      <c r="I34" s="107"/>
      <c r="J34" s="143"/>
      <c r="K34" s="107"/>
      <c r="L34" s="141"/>
      <c r="M34" s="107"/>
      <c r="N34" s="107"/>
      <c r="O34" s="107"/>
      <c r="P34" s="107"/>
      <c r="Q34" s="107"/>
      <c r="R34" s="108"/>
      <c r="T34" s="157"/>
      <c r="U34" s="136">
        <f t="shared" si="7"/>
        <v>0</v>
      </c>
      <c r="V34" s="363"/>
      <c r="W34" s="363"/>
    </row>
    <row r="35" spans="1:26" x14ac:dyDescent="0.2">
      <c r="A35" s="105">
        <v>32</v>
      </c>
      <c r="C35" s="366">
        <v>32</v>
      </c>
      <c r="E35" s="90"/>
      <c r="F35" s="109"/>
      <c r="G35" s="107"/>
      <c r="H35" s="107"/>
      <c r="I35" s="107"/>
      <c r="J35" s="143"/>
      <c r="K35" s="107"/>
      <c r="L35" s="141"/>
      <c r="M35" s="107"/>
      <c r="N35" s="107"/>
      <c r="O35" s="107"/>
      <c r="P35" s="107"/>
      <c r="Q35" s="107"/>
      <c r="R35" s="108"/>
      <c r="T35" s="135"/>
      <c r="U35" s="136">
        <f t="shared" si="7"/>
        <v>0</v>
      </c>
      <c r="V35" s="363"/>
      <c r="W35" s="363"/>
    </row>
    <row r="36" spans="1:26" x14ac:dyDescent="0.2">
      <c r="A36" s="105">
        <v>33</v>
      </c>
      <c r="C36" s="366">
        <v>33</v>
      </c>
      <c r="E36" s="90"/>
      <c r="F36" s="109"/>
      <c r="G36" s="107"/>
      <c r="H36" s="107"/>
      <c r="I36" s="107"/>
      <c r="J36" s="143"/>
      <c r="K36" s="107"/>
      <c r="L36" s="141"/>
      <c r="M36" s="107"/>
      <c r="N36" s="107"/>
      <c r="O36" s="107"/>
      <c r="P36" s="107"/>
      <c r="Q36" s="107"/>
      <c r="R36" s="108"/>
      <c r="T36" s="135"/>
      <c r="U36" s="136">
        <f t="shared" si="7"/>
        <v>0</v>
      </c>
      <c r="V36" s="363"/>
      <c r="W36" s="363"/>
    </row>
    <row r="37" spans="1:26" x14ac:dyDescent="0.2">
      <c r="A37" s="105">
        <v>34</v>
      </c>
      <c r="C37" s="366">
        <v>34</v>
      </c>
      <c r="E37" s="90"/>
      <c r="F37" s="109"/>
      <c r="G37" s="107"/>
      <c r="H37" s="107"/>
      <c r="I37" s="107"/>
      <c r="J37" s="143"/>
      <c r="K37" s="107"/>
      <c r="L37" s="141"/>
      <c r="M37" s="107"/>
      <c r="N37" s="107"/>
      <c r="O37" s="107"/>
      <c r="P37" s="107"/>
      <c r="Q37" s="107"/>
      <c r="R37" s="108"/>
      <c r="T37" s="135"/>
      <c r="U37" s="136">
        <f t="shared" si="7"/>
        <v>0</v>
      </c>
      <c r="V37" s="363"/>
      <c r="W37" s="363"/>
    </row>
    <row r="38" spans="1:26" x14ac:dyDescent="0.2">
      <c r="A38" s="105">
        <v>35</v>
      </c>
      <c r="C38" s="366">
        <v>35</v>
      </c>
      <c r="E38" s="90"/>
      <c r="F38" s="109"/>
      <c r="G38" s="107"/>
      <c r="H38" s="107"/>
      <c r="I38" s="107"/>
      <c r="J38" s="143"/>
      <c r="K38" s="107"/>
      <c r="L38" s="141"/>
      <c r="M38" s="107"/>
      <c r="N38" s="107"/>
      <c r="O38" s="107"/>
      <c r="P38" s="107"/>
      <c r="Q38" s="107"/>
      <c r="R38" s="108"/>
      <c r="T38" s="135"/>
      <c r="U38" s="136">
        <f t="shared" si="7"/>
        <v>0</v>
      </c>
      <c r="V38" s="363"/>
      <c r="W38" s="363"/>
    </row>
    <row r="39" spans="1:26" x14ac:dyDescent="0.2">
      <c r="A39" s="105">
        <v>36</v>
      </c>
      <c r="B39" s="1" t="s">
        <v>257</v>
      </c>
      <c r="C39" s="366">
        <v>36</v>
      </c>
      <c r="D39" s="170" t="s">
        <v>279</v>
      </c>
      <c r="E39" s="112"/>
      <c r="F39" s="163"/>
      <c r="G39" s="163"/>
      <c r="H39" s="163"/>
      <c r="I39" s="113" t="s">
        <v>1994</v>
      </c>
      <c r="J39" s="144" t="s">
        <v>1995</v>
      </c>
      <c r="K39" s="113" t="s">
        <v>1993</v>
      </c>
      <c r="L39" s="139" t="s">
        <v>2018</v>
      </c>
      <c r="M39" s="113" t="s">
        <v>144</v>
      </c>
      <c r="N39" s="113" t="s">
        <v>2031</v>
      </c>
      <c r="O39" s="113" t="s">
        <v>2032</v>
      </c>
      <c r="P39" s="113" t="s">
        <v>145</v>
      </c>
      <c r="Q39" s="113" t="s">
        <v>146</v>
      </c>
      <c r="R39" s="113" t="s">
        <v>147</v>
      </c>
      <c r="S39" s="113" t="s">
        <v>148</v>
      </c>
      <c r="T39" s="128" t="s">
        <v>167</v>
      </c>
      <c r="U39" s="131" t="s">
        <v>2014</v>
      </c>
      <c r="V39" s="131" t="s">
        <v>2050</v>
      </c>
      <c r="W39" s="131" t="s">
        <v>2049</v>
      </c>
      <c r="X39" s="802" t="s">
        <v>1313</v>
      </c>
      <c r="Y39" s="802" t="s">
        <v>2050</v>
      </c>
      <c r="Z39" s="802" t="s">
        <v>2049</v>
      </c>
    </row>
    <row r="40" spans="1:26" x14ac:dyDescent="0.2">
      <c r="A40" s="105">
        <v>37</v>
      </c>
      <c r="B40" t="str">
        <f>CONCATENATE("Crosby® G-209A ALLOY ",E40," Screw pin Anchor Shackle WLL: ",T40," (t)")</f>
        <v>Crosby® G-209A ALLOY 3/8" Screw pin Anchor Shackle WLL: 2 (t)</v>
      </c>
      <c r="C40" s="366">
        <v>37</v>
      </c>
      <c r="D40" t="str">
        <f>CONCATENATE(E40," ALLOY Screw Pin Anchor (",T40," t)")</f>
        <v>3/8" ALLOY Screw Pin Anchor (2 t)</v>
      </c>
      <c r="E40" s="8" t="s">
        <v>2035</v>
      </c>
      <c r="F40" s="114">
        <v>2</v>
      </c>
      <c r="G40" s="115">
        <v>1017450</v>
      </c>
      <c r="H40" s="115">
        <v>0.31</v>
      </c>
      <c r="I40" s="77">
        <v>0.66</v>
      </c>
      <c r="J40" s="145">
        <v>0.44</v>
      </c>
      <c r="K40" s="77">
        <v>1.44</v>
      </c>
      <c r="L40" s="126">
        <v>0.38</v>
      </c>
      <c r="M40" s="77">
        <v>1.03</v>
      </c>
      <c r="N40" s="77">
        <v>0.91</v>
      </c>
      <c r="O40" s="77">
        <v>1.78</v>
      </c>
      <c r="P40" s="77">
        <v>2.4900000000000002</v>
      </c>
      <c r="Q40" s="77">
        <v>0.25</v>
      </c>
      <c r="R40" s="77">
        <v>2.0299999999999998</v>
      </c>
      <c r="S40" s="77">
        <v>0.38</v>
      </c>
      <c r="T40" s="158" t="s">
        <v>258</v>
      </c>
      <c r="U40" s="136">
        <f>F40*2000</f>
        <v>4000</v>
      </c>
      <c r="V40" s="136">
        <f>U40*0.7</f>
        <v>2800</v>
      </c>
      <c r="W40" s="136">
        <f>U40*0.5</f>
        <v>2000</v>
      </c>
      <c r="X40" s="239">
        <f>U40*0.45359237</f>
        <v>1814.3694800000001</v>
      </c>
      <c r="Y40" s="239">
        <f>V40*0.45359237</f>
        <v>1270.058636</v>
      </c>
      <c r="Z40" s="239">
        <f>W40*0.45359237</f>
        <v>907.18474000000003</v>
      </c>
    </row>
    <row r="41" spans="1:26" x14ac:dyDescent="0.2">
      <c r="A41" s="105">
        <v>38</v>
      </c>
      <c r="B41" t="str">
        <f t="shared" ref="B41:B49" si="10">CONCATENATE("Crosby® G-209A ALLOY ",E41," Screw pin Anchor Shackle WLL: ",T41," (t)")</f>
        <v>Crosby® G-209A ALLOY 7/16" Screw pin Anchor Shackle WLL: 2 2/3 (t)</v>
      </c>
      <c r="C41" s="366">
        <v>38</v>
      </c>
      <c r="D41" t="str">
        <f t="shared" ref="D41:D49" si="11">CONCATENATE(E41," ALLOY Screw Pin Anchor (",T41," t)")</f>
        <v>7/16" ALLOY Screw Pin Anchor (2 2/3 t)</v>
      </c>
      <c r="E41" s="8" t="s">
        <v>2036</v>
      </c>
      <c r="F41" s="116">
        <v>2.6659999999999999</v>
      </c>
      <c r="G41" s="115">
        <v>1017472</v>
      </c>
      <c r="H41" s="115">
        <v>0.38</v>
      </c>
      <c r="I41" s="77">
        <v>0.75</v>
      </c>
      <c r="J41" s="145">
        <v>0.5</v>
      </c>
      <c r="K41" s="77">
        <v>1.69</v>
      </c>
      <c r="L41" s="126">
        <v>0.44</v>
      </c>
      <c r="M41" s="77">
        <v>1.1599999999999999</v>
      </c>
      <c r="N41" s="77">
        <v>1.06</v>
      </c>
      <c r="O41" s="77">
        <v>2.0299999999999998</v>
      </c>
      <c r="P41" s="77">
        <v>2.91</v>
      </c>
      <c r="Q41" s="77">
        <v>0.31</v>
      </c>
      <c r="R41" s="77">
        <v>2.38</v>
      </c>
      <c r="S41" s="77">
        <v>0.44</v>
      </c>
      <c r="T41" s="158" t="s">
        <v>168</v>
      </c>
      <c r="U41" s="136">
        <f t="shared" ref="U41:U49" si="12">F41*2000</f>
        <v>5332</v>
      </c>
      <c r="V41" s="136">
        <f t="shared" ref="V41:V48" si="13">U41*0.7</f>
        <v>3732.3999999999996</v>
      </c>
      <c r="W41" s="136">
        <f t="shared" ref="W41:W49" si="14">U41*0.5</f>
        <v>2666</v>
      </c>
      <c r="X41" s="239">
        <f t="shared" ref="X41:X49" si="15">U41*0.45359237</f>
        <v>2418.5545168399999</v>
      </c>
      <c r="Y41" s="239">
        <f t="shared" ref="Y41:Y49" si="16">V41*0.45359237</f>
        <v>1692.9881617879998</v>
      </c>
      <c r="Z41" s="239">
        <f t="shared" ref="Z41:Z49" si="17">W41*0.45359237</f>
        <v>1209.27725842</v>
      </c>
    </row>
    <row r="42" spans="1:26" x14ac:dyDescent="0.2">
      <c r="A42" s="105">
        <v>39</v>
      </c>
      <c r="B42" t="str">
        <f t="shared" si="10"/>
        <v>Crosby® G-209A ALLOY 1/2" Screw pin Anchor Shackle WLL: 3 1/3 (t)</v>
      </c>
      <c r="C42" s="366">
        <v>39</v>
      </c>
      <c r="D42" t="str">
        <f t="shared" si="11"/>
        <v>1/2" ALLOY Screw Pin Anchor (3 1/3 t)</v>
      </c>
      <c r="E42" s="8" t="s">
        <v>2037</v>
      </c>
      <c r="F42" s="116">
        <v>3.3330000000000002</v>
      </c>
      <c r="G42" s="115">
        <v>1017494</v>
      </c>
      <c r="H42" s="115">
        <v>0.63</v>
      </c>
      <c r="I42" s="77">
        <v>0.81</v>
      </c>
      <c r="J42" s="145">
        <v>0.63</v>
      </c>
      <c r="K42" s="77">
        <v>1.88</v>
      </c>
      <c r="L42" s="126">
        <v>0.5</v>
      </c>
      <c r="M42" s="77">
        <v>1.31</v>
      </c>
      <c r="N42" s="77">
        <v>1.19</v>
      </c>
      <c r="O42" s="77">
        <v>2.31</v>
      </c>
      <c r="P42" s="77">
        <v>3.28</v>
      </c>
      <c r="Q42" s="77">
        <v>0.38</v>
      </c>
      <c r="R42" s="77">
        <v>2.69</v>
      </c>
      <c r="S42" s="77">
        <v>0.5</v>
      </c>
      <c r="T42" s="158" t="s">
        <v>169</v>
      </c>
      <c r="U42" s="136">
        <f t="shared" si="12"/>
        <v>6666</v>
      </c>
      <c r="V42" s="136">
        <f t="shared" si="13"/>
        <v>4666.2</v>
      </c>
      <c r="W42" s="136">
        <f t="shared" si="14"/>
        <v>3333</v>
      </c>
      <c r="X42" s="239">
        <f t="shared" si="15"/>
        <v>3023.64673842</v>
      </c>
      <c r="Y42" s="239">
        <f t="shared" si="16"/>
        <v>2116.5527168940002</v>
      </c>
      <c r="Z42" s="239">
        <f t="shared" si="17"/>
        <v>1511.82336921</v>
      </c>
    </row>
    <row r="43" spans="1:26" x14ac:dyDescent="0.2">
      <c r="A43" s="105">
        <v>40</v>
      </c>
      <c r="B43" t="str">
        <f t="shared" si="10"/>
        <v>Crosby® G-209A ALLOY 5/8" Screw pin Anchor Shackle WLL: 5 (t)</v>
      </c>
      <c r="C43" s="366">
        <v>40</v>
      </c>
      <c r="D43" t="str">
        <f t="shared" si="11"/>
        <v>5/8" ALLOY Screw Pin Anchor (5 t)</v>
      </c>
      <c r="E43" s="8" t="s">
        <v>2038</v>
      </c>
      <c r="F43" s="117">
        <v>5</v>
      </c>
      <c r="G43" s="115">
        <v>1017516</v>
      </c>
      <c r="H43" s="115">
        <v>1.38</v>
      </c>
      <c r="I43" s="77">
        <v>1.06</v>
      </c>
      <c r="J43" s="145">
        <v>0.75</v>
      </c>
      <c r="K43" s="77">
        <v>2.38</v>
      </c>
      <c r="L43" s="126">
        <v>0.63</v>
      </c>
      <c r="M43" s="77">
        <v>1.69</v>
      </c>
      <c r="N43" s="77">
        <v>1.5</v>
      </c>
      <c r="O43" s="77">
        <v>2.94</v>
      </c>
      <c r="P43" s="77">
        <v>4.1900000000000004</v>
      </c>
      <c r="Q43" s="77">
        <v>0.44</v>
      </c>
      <c r="R43" s="77">
        <v>3.34</v>
      </c>
      <c r="S43" s="77">
        <v>0.69</v>
      </c>
      <c r="T43" s="158" t="s">
        <v>259</v>
      </c>
      <c r="U43" s="136">
        <f t="shared" si="12"/>
        <v>10000</v>
      </c>
      <c r="V43" s="136">
        <f t="shared" si="13"/>
        <v>7000</v>
      </c>
      <c r="W43" s="136">
        <f t="shared" si="14"/>
        <v>5000</v>
      </c>
      <c r="X43" s="239">
        <f t="shared" si="15"/>
        <v>4535.9237000000003</v>
      </c>
      <c r="Y43" s="239">
        <f t="shared" si="16"/>
        <v>3175.1465900000003</v>
      </c>
      <c r="Z43" s="239">
        <f t="shared" si="17"/>
        <v>2267.9618500000001</v>
      </c>
    </row>
    <row r="44" spans="1:26" x14ac:dyDescent="0.2">
      <c r="A44" s="105">
        <v>41</v>
      </c>
      <c r="B44" t="str">
        <f t="shared" si="10"/>
        <v>Crosby® G-209A ALLOY 3/4"  Screw pin Anchor Shackle WLL: 7 (t)</v>
      </c>
      <c r="C44" s="366">
        <v>41</v>
      </c>
      <c r="D44" t="str">
        <f t="shared" si="11"/>
        <v>3/4"  ALLOY Screw Pin Anchor (7 t)</v>
      </c>
      <c r="E44" s="8" t="s">
        <v>150</v>
      </c>
      <c r="F44" s="117">
        <v>7</v>
      </c>
      <c r="G44" s="115">
        <v>1017538</v>
      </c>
      <c r="H44" s="115">
        <v>2.25</v>
      </c>
      <c r="I44" s="77">
        <v>1.25</v>
      </c>
      <c r="J44" s="145">
        <v>0.88</v>
      </c>
      <c r="K44" s="77">
        <v>2.81</v>
      </c>
      <c r="L44" s="126">
        <v>0.75</v>
      </c>
      <c r="M44" s="77">
        <v>2</v>
      </c>
      <c r="N44" s="77">
        <v>1.81</v>
      </c>
      <c r="O44" s="77">
        <v>3.5</v>
      </c>
      <c r="P44" s="77">
        <v>4.97</v>
      </c>
      <c r="Q44" s="77">
        <v>0.5</v>
      </c>
      <c r="R44" s="77">
        <v>3.97</v>
      </c>
      <c r="S44" s="77">
        <v>0.81</v>
      </c>
      <c r="T44" s="158" t="s">
        <v>260</v>
      </c>
      <c r="U44" s="136">
        <f t="shared" si="12"/>
        <v>14000</v>
      </c>
      <c r="V44" s="136">
        <f t="shared" si="13"/>
        <v>9800</v>
      </c>
      <c r="W44" s="136">
        <f t="shared" si="14"/>
        <v>7000</v>
      </c>
      <c r="X44" s="239">
        <f t="shared" si="15"/>
        <v>6350.2931800000006</v>
      </c>
      <c r="Y44" s="239">
        <f t="shared" si="16"/>
        <v>4445.205226</v>
      </c>
      <c r="Z44" s="239">
        <f t="shared" si="17"/>
        <v>3175.1465900000003</v>
      </c>
    </row>
    <row r="45" spans="1:26" x14ac:dyDescent="0.2">
      <c r="A45" s="105">
        <v>42</v>
      </c>
      <c r="B45" t="str">
        <f t="shared" si="10"/>
        <v>Crosby® G-209A ALLOY 7/8" Screw pin Anchor Shackle WLL: 9 1/2 (t)</v>
      </c>
      <c r="C45" s="366">
        <v>42</v>
      </c>
      <c r="D45" t="str">
        <f t="shared" si="11"/>
        <v>7/8" ALLOY Screw Pin Anchor (9 1/2 t)</v>
      </c>
      <c r="E45" s="8" t="s">
        <v>2039</v>
      </c>
      <c r="F45" s="114">
        <v>9.5</v>
      </c>
      <c r="G45" s="115">
        <v>1017560</v>
      </c>
      <c r="H45" s="115">
        <v>3.61</v>
      </c>
      <c r="I45" s="77">
        <v>1.44</v>
      </c>
      <c r="J45" s="145">
        <v>1</v>
      </c>
      <c r="K45" s="77">
        <v>3.31</v>
      </c>
      <c r="L45" s="126">
        <v>0.88</v>
      </c>
      <c r="M45" s="77">
        <v>2.2799999999999998</v>
      </c>
      <c r="N45" s="77">
        <v>2.09</v>
      </c>
      <c r="O45" s="77">
        <v>4.03</v>
      </c>
      <c r="P45" s="77">
        <v>5.83</v>
      </c>
      <c r="Q45" s="77">
        <v>0.5</v>
      </c>
      <c r="R45" s="77">
        <v>4.5</v>
      </c>
      <c r="S45" s="77">
        <v>0.97</v>
      </c>
      <c r="T45" s="158" t="s">
        <v>170</v>
      </c>
      <c r="U45" s="136">
        <f t="shared" si="12"/>
        <v>19000</v>
      </c>
      <c r="V45" s="136">
        <f t="shared" si="13"/>
        <v>13300</v>
      </c>
      <c r="W45" s="136">
        <f t="shared" si="14"/>
        <v>9500</v>
      </c>
      <c r="X45" s="239">
        <f t="shared" si="15"/>
        <v>8618.2550300000003</v>
      </c>
      <c r="Y45" s="239">
        <f t="shared" si="16"/>
        <v>6032.7785210000002</v>
      </c>
      <c r="Z45" s="239">
        <f t="shared" si="17"/>
        <v>4309.1275150000001</v>
      </c>
    </row>
    <row r="46" spans="1:26" x14ac:dyDescent="0.2">
      <c r="A46" s="105">
        <v>43</v>
      </c>
      <c r="B46" t="str">
        <f t="shared" si="10"/>
        <v>Crosby® G-209A ALLOY 1"  Screw pin Anchor Shackle WLL: 12 1/2 (t)</v>
      </c>
      <c r="C46" s="366">
        <v>43</v>
      </c>
      <c r="D46" t="str">
        <f t="shared" si="11"/>
        <v>1"  ALLOY Screw Pin Anchor (12 1/2 t)</v>
      </c>
      <c r="E46" s="8" t="s">
        <v>151</v>
      </c>
      <c r="F46" s="114">
        <v>12.5</v>
      </c>
      <c r="G46" s="115">
        <v>1017582</v>
      </c>
      <c r="H46" s="115">
        <v>5.32</v>
      </c>
      <c r="I46" s="77">
        <v>1.69</v>
      </c>
      <c r="J46" s="145">
        <v>1.1299999999999999</v>
      </c>
      <c r="K46" s="77">
        <v>3.75</v>
      </c>
      <c r="L46" s="126">
        <v>1</v>
      </c>
      <c r="M46" s="77">
        <v>2.69</v>
      </c>
      <c r="N46" s="77">
        <v>2.38</v>
      </c>
      <c r="O46" s="77">
        <v>4.6900000000000004</v>
      </c>
      <c r="P46" s="77">
        <v>6.56</v>
      </c>
      <c r="Q46" s="77">
        <v>0.56000000000000005</v>
      </c>
      <c r="R46" s="77">
        <v>5.07</v>
      </c>
      <c r="S46" s="77">
        <v>1.06</v>
      </c>
      <c r="T46" s="158" t="s">
        <v>171</v>
      </c>
      <c r="U46" s="136">
        <f t="shared" si="12"/>
        <v>25000</v>
      </c>
      <c r="V46" s="136">
        <f t="shared" si="13"/>
        <v>17500</v>
      </c>
      <c r="W46" s="136">
        <f t="shared" si="14"/>
        <v>12500</v>
      </c>
      <c r="X46" s="239">
        <f t="shared" si="15"/>
        <v>11339.80925</v>
      </c>
      <c r="Y46" s="239">
        <f t="shared" si="16"/>
        <v>7937.8664750000007</v>
      </c>
      <c r="Z46" s="239">
        <f t="shared" si="17"/>
        <v>5669.9046250000001</v>
      </c>
    </row>
    <row r="47" spans="1:26" x14ac:dyDescent="0.2">
      <c r="A47" s="105">
        <v>44</v>
      </c>
      <c r="B47" t="str">
        <f t="shared" si="10"/>
        <v>Crosby® G-209A ALLOY 1-1/8" Screw pin Anchor Shackle WLL: 15 (t)</v>
      </c>
      <c r="C47" s="366">
        <v>44</v>
      </c>
      <c r="D47" t="str">
        <f t="shared" si="11"/>
        <v>1-1/8" ALLOY Screw Pin Anchor (15 t)</v>
      </c>
      <c r="E47" s="8" t="s">
        <v>2040</v>
      </c>
      <c r="F47" s="114">
        <v>15</v>
      </c>
      <c r="G47" s="115">
        <v>1017604</v>
      </c>
      <c r="H47" s="115">
        <v>7.25</v>
      </c>
      <c r="I47" s="77">
        <v>1.81</v>
      </c>
      <c r="J47" s="145">
        <v>1.25</v>
      </c>
      <c r="K47" s="77">
        <v>4.25</v>
      </c>
      <c r="L47" s="126">
        <v>1.1599999999999999</v>
      </c>
      <c r="M47" s="77">
        <v>2.91</v>
      </c>
      <c r="N47" s="77">
        <v>2.69</v>
      </c>
      <c r="O47" s="77">
        <v>5.16</v>
      </c>
      <c r="P47" s="77">
        <v>7.47</v>
      </c>
      <c r="Q47" s="77">
        <v>0.63</v>
      </c>
      <c r="R47" s="77">
        <v>5.59</v>
      </c>
      <c r="S47" s="77">
        <v>1.25</v>
      </c>
      <c r="T47" s="158" t="s">
        <v>261</v>
      </c>
      <c r="U47" s="136">
        <f t="shared" si="12"/>
        <v>30000</v>
      </c>
      <c r="V47" s="136">
        <f t="shared" si="13"/>
        <v>21000</v>
      </c>
      <c r="W47" s="136">
        <f t="shared" si="14"/>
        <v>15000</v>
      </c>
      <c r="X47" s="239">
        <f t="shared" si="15"/>
        <v>13607.7711</v>
      </c>
      <c r="Y47" s="239">
        <f t="shared" si="16"/>
        <v>9525.4397700000009</v>
      </c>
      <c r="Z47" s="239">
        <f t="shared" si="17"/>
        <v>6803.88555</v>
      </c>
    </row>
    <row r="48" spans="1:26" x14ac:dyDescent="0.2">
      <c r="A48" s="105">
        <v>45</v>
      </c>
      <c r="B48" t="str">
        <f t="shared" si="10"/>
        <v>Crosby® G-209A ALLOY 1-1/4" Screw pin Anchor Shackle WLL: 18 (t)</v>
      </c>
      <c r="C48" s="366">
        <v>45</v>
      </c>
      <c r="D48" t="str">
        <f t="shared" si="11"/>
        <v>1-1/4" ALLOY Screw Pin Anchor (18 t)</v>
      </c>
      <c r="E48" s="8" t="s">
        <v>2041</v>
      </c>
      <c r="F48" s="114">
        <v>18</v>
      </c>
      <c r="G48" s="115">
        <v>1017626</v>
      </c>
      <c r="H48" s="115">
        <v>9.8800000000000008</v>
      </c>
      <c r="I48" s="77">
        <v>2.0299999999999998</v>
      </c>
      <c r="J48" s="145">
        <v>1.38</v>
      </c>
      <c r="K48" s="77">
        <v>4.6900000000000004</v>
      </c>
      <c r="L48" s="126">
        <v>1.29</v>
      </c>
      <c r="M48" s="77">
        <v>3.25</v>
      </c>
      <c r="N48" s="77">
        <v>3</v>
      </c>
      <c r="O48" s="77">
        <v>5.75</v>
      </c>
      <c r="P48" s="77">
        <v>8.25</v>
      </c>
      <c r="Q48" s="77">
        <v>0.69</v>
      </c>
      <c r="R48" s="77">
        <v>6.16</v>
      </c>
      <c r="S48" s="77">
        <v>1.38</v>
      </c>
      <c r="T48" s="158" t="s">
        <v>262</v>
      </c>
      <c r="U48" s="136">
        <f t="shared" si="12"/>
        <v>36000</v>
      </c>
      <c r="V48" s="136">
        <f t="shared" si="13"/>
        <v>25200</v>
      </c>
      <c r="W48" s="136">
        <f t="shared" si="14"/>
        <v>18000</v>
      </c>
      <c r="X48" s="239">
        <f t="shared" si="15"/>
        <v>16329.32532</v>
      </c>
      <c r="Y48" s="239">
        <f t="shared" si="16"/>
        <v>11430.527724000001</v>
      </c>
      <c r="Z48" s="239">
        <f t="shared" si="17"/>
        <v>8164.66266</v>
      </c>
    </row>
    <row r="49" spans="1:26" x14ac:dyDescent="0.2">
      <c r="A49" s="105">
        <v>46</v>
      </c>
      <c r="B49" t="str">
        <f t="shared" si="10"/>
        <v>Crosby® G-209A ALLOY 1-3/8"  Screw pin Anchor Shackle WLL: 21 (t)</v>
      </c>
      <c r="C49" s="366">
        <v>46</v>
      </c>
      <c r="D49" t="str">
        <f t="shared" si="11"/>
        <v>1-3/8"  ALLOY Screw Pin Anchor (21 t)</v>
      </c>
      <c r="E49" s="8" t="s">
        <v>152</v>
      </c>
      <c r="F49" s="114">
        <v>21</v>
      </c>
      <c r="G49" s="115">
        <v>1017648</v>
      </c>
      <c r="H49" s="115">
        <v>13.25</v>
      </c>
      <c r="I49" s="77">
        <v>2.25</v>
      </c>
      <c r="J49" s="145">
        <v>1.5</v>
      </c>
      <c r="K49" s="77">
        <v>5.25</v>
      </c>
      <c r="L49" s="126">
        <v>1.42</v>
      </c>
      <c r="M49" s="77">
        <v>3.63</v>
      </c>
      <c r="N49" s="77">
        <v>3.31</v>
      </c>
      <c r="O49" s="77">
        <v>6.38</v>
      </c>
      <c r="P49" s="77">
        <v>9.16</v>
      </c>
      <c r="Q49" s="77">
        <v>0.75</v>
      </c>
      <c r="R49" s="77">
        <v>6.84</v>
      </c>
      <c r="S49" s="77">
        <v>1.5</v>
      </c>
      <c r="T49" s="158" t="s">
        <v>172</v>
      </c>
      <c r="U49" s="136">
        <f t="shared" si="12"/>
        <v>42000</v>
      </c>
      <c r="V49" s="136">
        <f>U49*0.7</f>
        <v>29399.999999999996</v>
      </c>
      <c r="W49" s="136">
        <f t="shared" si="14"/>
        <v>21000</v>
      </c>
      <c r="X49" s="239">
        <f t="shared" si="15"/>
        <v>19050.879540000002</v>
      </c>
      <c r="Y49" s="239">
        <f t="shared" si="16"/>
        <v>13335.615677999998</v>
      </c>
      <c r="Z49" s="239">
        <f t="shared" si="17"/>
        <v>9525.4397700000009</v>
      </c>
    </row>
    <row r="50" spans="1:26" x14ac:dyDescent="0.2">
      <c r="A50" s="105">
        <v>47</v>
      </c>
      <c r="B50" s="1" t="s">
        <v>266</v>
      </c>
      <c r="C50" s="366">
        <v>47</v>
      </c>
      <c r="D50" s="170" t="s">
        <v>279</v>
      </c>
      <c r="E50" s="119"/>
      <c r="F50" s="120"/>
      <c r="G50" s="120"/>
      <c r="H50" s="164"/>
      <c r="I50" s="118" t="s">
        <v>1994</v>
      </c>
      <c r="J50" s="165" t="s">
        <v>2018</v>
      </c>
      <c r="K50" s="118" t="s">
        <v>1993</v>
      </c>
      <c r="L50" s="165" t="s">
        <v>146</v>
      </c>
      <c r="M50" s="118" t="s">
        <v>144</v>
      </c>
      <c r="N50" s="118" t="s">
        <v>2031</v>
      </c>
      <c r="O50" s="118" t="s">
        <v>2032</v>
      </c>
      <c r="P50" s="118" t="s">
        <v>145</v>
      </c>
      <c r="Q50" s="118" t="s">
        <v>157</v>
      </c>
      <c r="R50" s="118" t="s">
        <v>156</v>
      </c>
      <c r="S50" s="165" t="s">
        <v>1995</v>
      </c>
      <c r="T50" s="128" t="s">
        <v>167</v>
      </c>
      <c r="U50" s="131" t="s">
        <v>2014</v>
      </c>
      <c r="V50" s="131" t="s">
        <v>2050</v>
      </c>
      <c r="W50" s="131" t="s">
        <v>2049</v>
      </c>
      <c r="X50" s="802" t="s">
        <v>1313</v>
      </c>
      <c r="Y50" s="802" t="s">
        <v>2050</v>
      </c>
      <c r="Z50" s="802" t="s">
        <v>2049</v>
      </c>
    </row>
    <row r="51" spans="1:26" x14ac:dyDescent="0.2">
      <c r="A51" s="105">
        <v>48</v>
      </c>
      <c r="B51" t="str">
        <f>CONCATENATE("Crosby® G-2140 ALLOY ",E51," Bolt Type Anchor Shackle WLL: ",F51,"(t)")</f>
        <v>Crosby® G-2140 ALLOY 1-1/2" Bolt Type Anchor Shackle WLL: 30(t)</v>
      </c>
      <c r="C51" s="366">
        <v>48</v>
      </c>
      <c r="D51" t="str">
        <f>CONCATENATE(E51," ALLOY Bolt Type (",F51," t)")</f>
        <v>1-1/2" ALLOY Bolt Type (30 t)</v>
      </c>
      <c r="E51" s="105" t="s">
        <v>2042</v>
      </c>
      <c r="F51" s="121">
        <v>30</v>
      </c>
      <c r="G51" s="122">
        <v>1021110</v>
      </c>
      <c r="H51" s="122">
        <v>20.8</v>
      </c>
      <c r="I51" s="122">
        <v>2.38</v>
      </c>
      <c r="J51" s="146">
        <v>1.66</v>
      </c>
      <c r="K51" s="122">
        <v>1.62</v>
      </c>
      <c r="L51" s="138">
        <v>1.53</v>
      </c>
      <c r="M51" s="122">
        <v>5.75</v>
      </c>
      <c r="N51" s="122">
        <v>1.39</v>
      </c>
      <c r="O51" s="122">
        <v>6.88</v>
      </c>
      <c r="P51" s="122">
        <v>7.73</v>
      </c>
      <c r="Q51" s="122">
        <v>10</v>
      </c>
      <c r="R51" s="122">
        <v>3.88</v>
      </c>
      <c r="S51" s="122">
        <v>3.63</v>
      </c>
      <c r="T51" s="137">
        <v>30</v>
      </c>
      <c r="U51" s="136">
        <f>F51*2000</f>
        <v>60000</v>
      </c>
      <c r="V51" s="136">
        <f>U51*0.7</f>
        <v>42000</v>
      </c>
      <c r="W51" s="136">
        <f>U51*0.5</f>
        <v>30000</v>
      </c>
      <c r="X51" s="240">
        <f>U51*0.45359237</f>
        <v>27215.5422</v>
      </c>
      <c r="Y51" s="240">
        <f>V51*0.45359237</f>
        <v>19050.879540000002</v>
      </c>
      <c r="Z51" s="240">
        <f>W51*0.45359237</f>
        <v>13607.7711</v>
      </c>
    </row>
    <row r="52" spans="1:26" x14ac:dyDescent="0.2">
      <c r="A52" s="105">
        <v>49</v>
      </c>
      <c r="B52" t="str">
        <f t="shared" ref="B52:B61" si="18">CONCATENATE("Crosby® G-2140 ALLOY ",E52," Bolt Type Anchor Shackle WLL: ",F52,"(t)")</f>
        <v>Crosby® G-2140 ALLOY 1-3/4" Bolt Type Anchor Shackle WLL: 40(t)</v>
      </c>
      <c r="C52" s="366">
        <v>49</v>
      </c>
      <c r="D52" t="str">
        <f t="shared" ref="D52:D61" si="19">CONCATENATE(E52," ALLOY Bolt Type (",F52," t)")</f>
        <v>1-3/4" ALLOY Bolt Type (40 t)</v>
      </c>
      <c r="E52" s="105" t="s">
        <v>2043</v>
      </c>
      <c r="F52" s="121">
        <v>40</v>
      </c>
      <c r="G52" s="122">
        <v>1021138</v>
      </c>
      <c r="H52" s="122">
        <v>33.9</v>
      </c>
      <c r="I52" s="122">
        <v>2.88</v>
      </c>
      <c r="J52" s="146">
        <v>2.04</v>
      </c>
      <c r="K52" s="122">
        <v>2.25</v>
      </c>
      <c r="L52" s="138">
        <v>1.84</v>
      </c>
      <c r="M52" s="122">
        <v>7</v>
      </c>
      <c r="N52" s="122">
        <v>1.75</v>
      </c>
      <c r="O52" s="122">
        <v>8.8000000000000007</v>
      </c>
      <c r="P52" s="122">
        <v>9.33</v>
      </c>
      <c r="Q52" s="122">
        <v>12.34</v>
      </c>
      <c r="R52" s="122">
        <v>5</v>
      </c>
      <c r="S52" s="122">
        <v>4.1900000000000004</v>
      </c>
      <c r="T52" s="137">
        <v>40</v>
      </c>
      <c r="U52" s="136">
        <f t="shared" ref="U52:U61" si="20">F52*2000</f>
        <v>80000</v>
      </c>
      <c r="V52" s="136">
        <f t="shared" ref="V52:V61" si="21">U52*0.7</f>
        <v>56000</v>
      </c>
      <c r="W52" s="136">
        <f t="shared" ref="W52:W61" si="22">U52*0.5</f>
        <v>40000</v>
      </c>
      <c r="X52" s="240">
        <f t="shared" ref="X52:X61" si="23">U52*0.45359237</f>
        <v>36287.389600000002</v>
      </c>
      <c r="Y52" s="240">
        <f t="shared" ref="Y52:Y61" si="24">V52*0.45359237</f>
        <v>25401.172720000002</v>
      </c>
      <c r="Z52" s="240">
        <f t="shared" ref="Z52:Z61" si="25">W52*0.45359237</f>
        <v>18143.694800000001</v>
      </c>
    </row>
    <row r="53" spans="1:26" x14ac:dyDescent="0.2">
      <c r="A53" s="105">
        <v>50</v>
      </c>
      <c r="B53" t="str">
        <f t="shared" si="18"/>
        <v>Crosby® G-2140 ALLOY 2" Bolt Type Anchor Shackle WLL: 55(t)</v>
      </c>
      <c r="C53" s="366">
        <v>50</v>
      </c>
      <c r="D53" t="str">
        <f t="shared" si="19"/>
        <v>2" ALLOY Bolt Type (55 t)</v>
      </c>
      <c r="E53" s="123" t="s">
        <v>2044</v>
      </c>
      <c r="F53" s="121">
        <v>55</v>
      </c>
      <c r="G53" s="122">
        <v>1021156</v>
      </c>
      <c r="H53" s="122">
        <v>52</v>
      </c>
      <c r="I53" s="122">
        <v>3.25</v>
      </c>
      <c r="J53" s="146">
        <v>2.2999999999999998</v>
      </c>
      <c r="K53" s="122">
        <v>2.4</v>
      </c>
      <c r="L53" s="138">
        <v>2.08</v>
      </c>
      <c r="M53" s="122">
        <v>7.75</v>
      </c>
      <c r="N53" s="122">
        <v>2</v>
      </c>
      <c r="O53" s="122">
        <v>10.15</v>
      </c>
      <c r="P53" s="122">
        <v>10.41</v>
      </c>
      <c r="Q53" s="122">
        <v>13.68</v>
      </c>
      <c r="R53" s="122">
        <v>5.75</v>
      </c>
      <c r="S53" s="122">
        <v>4.8099999999999996</v>
      </c>
      <c r="T53" s="137">
        <v>55</v>
      </c>
      <c r="U53" s="136">
        <f t="shared" si="20"/>
        <v>110000</v>
      </c>
      <c r="V53" s="136">
        <f t="shared" si="21"/>
        <v>77000</v>
      </c>
      <c r="W53" s="136">
        <f t="shared" si="22"/>
        <v>55000</v>
      </c>
      <c r="X53" s="240">
        <f t="shared" si="23"/>
        <v>49895.1607</v>
      </c>
      <c r="Y53" s="240">
        <f t="shared" si="24"/>
        <v>34926.61249</v>
      </c>
      <c r="Z53" s="240">
        <f t="shared" si="25"/>
        <v>24947.58035</v>
      </c>
    </row>
    <row r="54" spans="1:26" x14ac:dyDescent="0.2">
      <c r="A54" s="105">
        <v>51</v>
      </c>
      <c r="B54" t="str">
        <f t="shared" si="18"/>
        <v>Crosby® G-2140 ALLOY 2-1/2" Bolt Type Anchor Shackle WLL: 85(t)</v>
      </c>
      <c r="C54" s="366">
        <v>51</v>
      </c>
      <c r="D54" t="str">
        <f t="shared" si="19"/>
        <v>2-1/2" ALLOY Bolt Type (85 t)</v>
      </c>
      <c r="E54" s="123" t="s">
        <v>2045</v>
      </c>
      <c r="F54" s="121">
        <v>85</v>
      </c>
      <c r="G54" s="122">
        <v>1021174</v>
      </c>
      <c r="H54" s="122">
        <v>96</v>
      </c>
      <c r="I54" s="122">
        <v>4.12</v>
      </c>
      <c r="J54" s="146">
        <v>2.71</v>
      </c>
      <c r="K54" s="122">
        <v>3.12</v>
      </c>
      <c r="L54" s="138">
        <v>2.71</v>
      </c>
      <c r="M54" s="122">
        <v>10.5</v>
      </c>
      <c r="N54" s="122">
        <v>2.62</v>
      </c>
      <c r="O54" s="122">
        <v>12.75</v>
      </c>
      <c r="P54" s="122">
        <v>13.58</v>
      </c>
      <c r="Q54" s="122">
        <v>17.7</v>
      </c>
      <c r="R54" s="122">
        <v>7.25</v>
      </c>
      <c r="S54" s="122">
        <v>5.81</v>
      </c>
      <c r="T54" s="137">
        <v>85</v>
      </c>
      <c r="U54" s="136">
        <f t="shared" si="20"/>
        <v>170000</v>
      </c>
      <c r="V54" s="136">
        <f t="shared" si="21"/>
        <v>118999.99999999999</v>
      </c>
      <c r="W54" s="136">
        <f t="shared" si="22"/>
        <v>85000</v>
      </c>
      <c r="X54" s="240">
        <f t="shared" si="23"/>
        <v>77110.702900000004</v>
      </c>
      <c r="Y54" s="240">
        <f t="shared" si="24"/>
        <v>53977.492029999994</v>
      </c>
      <c r="Z54" s="240">
        <f t="shared" si="25"/>
        <v>38555.351450000002</v>
      </c>
    </row>
    <row r="55" spans="1:26" x14ac:dyDescent="0.2">
      <c r="A55" s="105">
        <v>52</v>
      </c>
      <c r="B55" t="str">
        <f t="shared" si="18"/>
        <v>Crosby® G-2140 ALLOY 3" Bolt Type Anchor Shackle WLL: 120(t)</v>
      </c>
      <c r="C55" s="366">
        <v>52</v>
      </c>
      <c r="D55" t="str">
        <f t="shared" si="19"/>
        <v>3" ALLOY Bolt Type (120 t)</v>
      </c>
      <c r="E55" s="123" t="s">
        <v>2046</v>
      </c>
      <c r="F55" s="121">
        <v>120</v>
      </c>
      <c r="G55" s="122">
        <v>1021192</v>
      </c>
      <c r="H55" s="122">
        <v>178</v>
      </c>
      <c r="I55" s="122">
        <v>5</v>
      </c>
      <c r="J55" s="146">
        <v>3.3</v>
      </c>
      <c r="K55" s="122">
        <v>3.62</v>
      </c>
      <c r="L55" s="138">
        <v>3.12</v>
      </c>
      <c r="M55" s="122">
        <v>13</v>
      </c>
      <c r="N55" s="122">
        <v>3</v>
      </c>
      <c r="O55" s="122">
        <v>14.62</v>
      </c>
      <c r="P55" s="122">
        <v>15.13</v>
      </c>
      <c r="Q55" s="122">
        <v>21.5</v>
      </c>
      <c r="R55" s="122">
        <v>7.88</v>
      </c>
      <c r="S55" s="122">
        <v>6.5</v>
      </c>
      <c r="T55" s="137">
        <v>120</v>
      </c>
      <c r="U55" s="136">
        <f t="shared" si="20"/>
        <v>240000</v>
      </c>
      <c r="V55" s="136">
        <f t="shared" si="21"/>
        <v>168000</v>
      </c>
      <c r="W55" s="136">
        <f t="shared" si="22"/>
        <v>120000</v>
      </c>
      <c r="X55" s="240">
        <f t="shared" si="23"/>
        <v>108862.1688</v>
      </c>
      <c r="Y55" s="240">
        <f t="shared" si="24"/>
        <v>76203.518160000007</v>
      </c>
      <c r="Z55" s="240">
        <f t="shared" si="25"/>
        <v>54431.0844</v>
      </c>
    </row>
    <row r="56" spans="1:26" x14ac:dyDescent="0.2">
      <c r="A56" s="105">
        <v>53</v>
      </c>
      <c r="B56" t="str">
        <f t="shared" si="18"/>
        <v>Crosby® G-2140 ALLOY 3-1/2" Bolt Type Anchor Shackle WLL: 150(t)</v>
      </c>
      <c r="C56" s="366">
        <v>53</v>
      </c>
      <c r="D56" t="str">
        <f t="shared" si="19"/>
        <v>3-1/2" ALLOY Bolt Type (150 t)</v>
      </c>
      <c r="E56" s="105" t="s">
        <v>2047</v>
      </c>
      <c r="F56" s="121">
        <v>150</v>
      </c>
      <c r="G56" s="122">
        <v>1021218</v>
      </c>
      <c r="H56" s="122">
        <v>265</v>
      </c>
      <c r="I56" s="122">
        <v>5.25</v>
      </c>
      <c r="J56" s="146">
        <v>3.76</v>
      </c>
      <c r="K56" s="122">
        <v>4.38</v>
      </c>
      <c r="L56" s="138">
        <v>3.62</v>
      </c>
      <c r="M56" s="122">
        <v>14.63</v>
      </c>
      <c r="N56" s="122">
        <v>3.75</v>
      </c>
      <c r="O56" s="122">
        <v>17.02</v>
      </c>
      <c r="P56" s="122">
        <v>19</v>
      </c>
      <c r="Q56" s="122">
        <v>24.88</v>
      </c>
      <c r="R56" s="122">
        <v>9</v>
      </c>
      <c r="S56" s="122">
        <v>8</v>
      </c>
      <c r="T56" s="137">
        <v>150</v>
      </c>
      <c r="U56" s="136">
        <f t="shared" si="20"/>
        <v>300000</v>
      </c>
      <c r="V56" s="136">
        <f t="shared" si="21"/>
        <v>210000</v>
      </c>
      <c r="W56" s="136">
        <f t="shared" si="22"/>
        <v>150000</v>
      </c>
      <c r="X56" s="240">
        <f t="shared" si="23"/>
        <v>136077.71100000001</v>
      </c>
      <c r="Y56" s="240">
        <f t="shared" si="24"/>
        <v>95254.397700000001</v>
      </c>
      <c r="Z56" s="240">
        <f t="shared" si="25"/>
        <v>68038.855500000005</v>
      </c>
    </row>
    <row r="57" spans="1:26" x14ac:dyDescent="0.2">
      <c r="A57" s="105">
        <v>54</v>
      </c>
      <c r="B57" t="str">
        <f t="shared" si="18"/>
        <v>Crosby® G-2140 ALLOY 4" Bolt Type Anchor Shackle WLL: 175(t)</v>
      </c>
      <c r="C57" s="366">
        <v>54</v>
      </c>
      <c r="D57" t="str">
        <f t="shared" si="19"/>
        <v>4" ALLOY Bolt Type (175 t)</v>
      </c>
      <c r="E57" s="123" t="s">
        <v>2048</v>
      </c>
      <c r="F57" s="121">
        <v>175</v>
      </c>
      <c r="G57" s="122">
        <v>1021236</v>
      </c>
      <c r="H57" s="122">
        <v>338</v>
      </c>
      <c r="I57" s="122">
        <v>5.5</v>
      </c>
      <c r="J57" s="146">
        <v>4</v>
      </c>
      <c r="K57" s="122">
        <v>4.5599999999999996</v>
      </c>
      <c r="L57" s="138">
        <v>4</v>
      </c>
      <c r="M57" s="122">
        <v>14.5</v>
      </c>
      <c r="N57" s="122">
        <v>4</v>
      </c>
      <c r="O57" s="122">
        <v>18</v>
      </c>
      <c r="P57" s="122">
        <v>19.75</v>
      </c>
      <c r="Q57" s="122">
        <v>25.68</v>
      </c>
      <c r="R57" s="122">
        <v>10</v>
      </c>
      <c r="S57" s="122">
        <v>9</v>
      </c>
      <c r="T57" s="137">
        <v>175</v>
      </c>
      <c r="U57" s="136">
        <f t="shared" si="20"/>
        <v>350000</v>
      </c>
      <c r="V57" s="136">
        <f t="shared" si="21"/>
        <v>244999.99999999997</v>
      </c>
      <c r="W57" s="136">
        <f t="shared" si="22"/>
        <v>175000</v>
      </c>
      <c r="X57" s="240">
        <f t="shared" si="23"/>
        <v>158757.32950000002</v>
      </c>
      <c r="Y57" s="240">
        <f t="shared" si="24"/>
        <v>111130.13064999999</v>
      </c>
      <c r="Z57" s="240">
        <f t="shared" si="25"/>
        <v>79378.664750000011</v>
      </c>
    </row>
    <row r="58" spans="1:26" x14ac:dyDescent="0.2">
      <c r="A58" s="105">
        <v>55</v>
      </c>
      <c r="B58" t="str">
        <f t="shared" si="18"/>
        <v>Crosby® G-2140 ALLOY 4-3/4" Bolt Type Anchor Shackle WLL: 200(t)</v>
      </c>
      <c r="C58" s="366">
        <v>55</v>
      </c>
      <c r="D58" t="str">
        <f t="shared" si="19"/>
        <v>4-3/4" ALLOY Bolt Type (200 t)</v>
      </c>
      <c r="E58" s="105" t="s">
        <v>158</v>
      </c>
      <c r="F58" s="121">
        <v>200</v>
      </c>
      <c r="G58" s="122">
        <v>1021414</v>
      </c>
      <c r="H58" s="122">
        <v>450</v>
      </c>
      <c r="I58" s="122">
        <v>7.25</v>
      </c>
      <c r="J58" s="146">
        <v>4.75</v>
      </c>
      <c r="K58" s="122">
        <v>6</v>
      </c>
      <c r="L58" s="138">
        <v>4.5</v>
      </c>
      <c r="M58" s="122">
        <v>15.69</v>
      </c>
      <c r="N58" s="122">
        <v>3.75</v>
      </c>
      <c r="O58" s="122">
        <v>21</v>
      </c>
      <c r="P58" s="122">
        <v>20.59</v>
      </c>
      <c r="Q58" s="122">
        <v>29.25</v>
      </c>
      <c r="R58" s="122">
        <v>11</v>
      </c>
      <c r="S58" s="122">
        <v>10.5</v>
      </c>
      <c r="T58" s="137">
        <v>200</v>
      </c>
      <c r="U58" s="136">
        <f t="shared" si="20"/>
        <v>400000</v>
      </c>
      <c r="V58" s="136">
        <f t="shared" si="21"/>
        <v>280000</v>
      </c>
      <c r="W58" s="136">
        <f t="shared" si="22"/>
        <v>200000</v>
      </c>
      <c r="X58" s="240">
        <f t="shared" si="23"/>
        <v>181436.948</v>
      </c>
      <c r="Y58" s="240">
        <f t="shared" si="24"/>
        <v>127005.86360000001</v>
      </c>
      <c r="Z58" s="240">
        <f t="shared" si="25"/>
        <v>90718.474000000002</v>
      </c>
    </row>
    <row r="59" spans="1:26" x14ac:dyDescent="0.2">
      <c r="A59" s="105">
        <v>56</v>
      </c>
      <c r="B59" t="str">
        <f t="shared" si="18"/>
        <v>Crosby® G-2140 ALLOY 5" Bolt Type Anchor Shackle WLL: 250(t)</v>
      </c>
      <c r="C59" s="366">
        <v>56</v>
      </c>
      <c r="D59" t="str">
        <f t="shared" si="19"/>
        <v>5" ALLOY Bolt Type (250 t)</v>
      </c>
      <c r="E59" s="105" t="s">
        <v>159</v>
      </c>
      <c r="F59" s="121">
        <v>250</v>
      </c>
      <c r="G59" s="122">
        <v>1021432</v>
      </c>
      <c r="H59" s="122">
        <v>600</v>
      </c>
      <c r="I59" s="122">
        <v>8.5</v>
      </c>
      <c r="J59" s="146">
        <v>5</v>
      </c>
      <c r="K59" s="122">
        <v>6.5</v>
      </c>
      <c r="L59" s="138">
        <v>4.5</v>
      </c>
      <c r="M59" s="122">
        <v>20.059999999999999</v>
      </c>
      <c r="N59" s="122">
        <v>3.88</v>
      </c>
      <c r="O59" s="122">
        <v>24.5</v>
      </c>
      <c r="P59" s="122">
        <v>22.06</v>
      </c>
      <c r="Q59" s="122">
        <v>35</v>
      </c>
      <c r="R59" s="122">
        <v>13</v>
      </c>
      <c r="S59" s="122">
        <v>12</v>
      </c>
      <c r="T59" s="137">
        <v>250</v>
      </c>
      <c r="U59" s="136">
        <f t="shared" si="20"/>
        <v>500000</v>
      </c>
      <c r="V59" s="136">
        <f t="shared" si="21"/>
        <v>350000</v>
      </c>
      <c r="W59" s="136">
        <f t="shared" si="22"/>
        <v>250000</v>
      </c>
      <c r="X59" s="240">
        <f t="shared" si="23"/>
        <v>226796.185</v>
      </c>
      <c r="Y59" s="240">
        <f t="shared" si="24"/>
        <v>158757.32950000002</v>
      </c>
      <c r="Z59" s="240">
        <f t="shared" si="25"/>
        <v>113398.0925</v>
      </c>
    </row>
    <row r="60" spans="1:26" x14ac:dyDescent="0.2">
      <c r="A60" s="105">
        <v>57</v>
      </c>
      <c r="B60" t="str">
        <f t="shared" si="18"/>
        <v>Crosby® G-2140 ALLOY 6" Bolt Type Anchor Shackle WLL: 300(t)</v>
      </c>
      <c r="C60" s="366">
        <v>57</v>
      </c>
      <c r="D60" t="str">
        <f t="shared" si="19"/>
        <v>6" ALLOY Bolt Type (300 t)</v>
      </c>
      <c r="E60" s="105" t="s">
        <v>160</v>
      </c>
      <c r="F60" s="121">
        <v>300</v>
      </c>
      <c r="G60" s="122">
        <v>1021450</v>
      </c>
      <c r="H60" s="122">
        <v>775</v>
      </c>
      <c r="I60" s="122">
        <v>8.3800000000000008</v>
      </c>
      <c r="J60" s="146">
        <v>6</v>
      </c>
      <c r="K60" s="122">
        <v>6.75</v>
      </c>
      <c r="L60" s="138">
        <v>5</v>
      </c>
      <c r="M60" s="122">
        <v>19.559999999999999</v>
      </c>
      <c r="N60" s="122">
        <v>6.43</v>
      </c>
      <c r="O60" s="122">
        <v>25</v>
      </c>
      <c r="P60" s="122">
        <v>24.44</v>
      </c>
      <c r="Q60" s="122">
        <v>35.25</v>
      </c>
      <c r="R60" s="122">
        <v>13</v>
      </c>
      <c r="S60" s="122">
        <v>12</v>
      </c>
      <c r="T60" s="137">
        <v>300</v>
      </c>
      <c r="U60" s="136">
        <f t="shared" si="20"/>
        <v>600000</v>
      </c>
      <c r="V60" s="136">
        <f t="shared" si="21"/>
        <v>420000</v>
      </c>
      <c r="W60" s="136">
        <f t="shared" si="22"/>
        <v>300000</v>
      </c>
      <c r="X60" s="240">
        <f t="shared" si="23"/>
        <v>272155.42200000002</v>
      </c>
      <c r="Y60" s="240">
        <f t="shared" si="24"/>
        <v>190508.7954</v>
      </c>
      <c r="Z60" s="240">
        <f t="shared" si="25"/>
        <v>136077.71100000001</v>
      </c>
    </row>
    <row r="61" spans="1:26" x14ac:dyDescent="0.2">
      <c r="A61" s="105">
        <v>58</v>
      </c>
      <c r="B61" t="str">
        <f t="shared" si="18"/>
        <v>Crosby® G-2140 ALLOY 7" Bolt Type Anchor Shackle WLL: 400(t)</v>
      </c>
      <c r="C61" s="366">
        <v>58</v>
      </c>
      <c r="D61" t="str">
        <f t="shared" si="19"/>
        <v>7" ALLOY Bolt Type (400 t)</v>
      </c>
      <c r="E61" s="105" t="s">
        <v>161</v>
      </c>
      <c r="F61" s="121">
        <v>400</v>
      </c>
      <c r="G61" s="122">
        <v>1021478</v>
      </c>
      <c r="H61" s="122">
        <v>1102</v>
      </c>
      <c r="I61" s="122">
        <v>8.25</v>
      </c>
      <c r="J61" s="146">
        <v>7</v>
      </c>
      <c r="K61" s="122">
        <v>7.25</v>
      </c>
      <c r="L61" s="138">
        <v>6</v>
      </c>
      <c r="M61" s="122">
        <v>22.56</v>
      </c>
      <c r="N61" s="122">
        <v>6.5</v>
      </c>
      <c r="O61" s="122">
        <v>26</v>
      </c>
      <c r="P61" s="122">
        <v>28.06</v>
      </c>
      <c r="Q61" s="122">
        <v>40.25</v>
      </c>
      <c r="R61" s="122">
        <v>13</v>
      </c>
      <c r="S61" s="122">
        <v>14</v>
      </c>
      <c r="T61" s="137">
        <v>400</v>
      </c>
      <c r="U61" s="136">
        <f t="shared" si="20"/>
        <v>800000</v>
      </c>
      <c r="V61" s="136">
        <f t="shared" si="21"/>
        <v>560000</v>
      </c>
      <c r="W61" s="136">
        <f t="shared" si="22"/>
        <v>400000</v>
      </c>
      <c r="X61" s="240">
        <f t="shared" si="23"/>
        <v>362873.89600000001</v>
      </c>
      <c r="Y61" s="240">
        <f t="shared" si="24"/>
        <v>254011.72720000002</v>
      </c>
      <c r="Z61" s="240">
        <f t="shared" si="25"/>
        <v>181436.948</v>
      </c>
    </row>
    <row r="62" spans="1:26" x14ac:dyDescent="0.2">
      <c r="A62" s="105">
        <v>59</v>
      </c>
      <c r="B62" s="1" t="s">
        <v>267</v>
      </c>
      <c r="C62" s="366">
        <v>59</v>
      </c>
      <c r="D62" s="170" t="s">
        <v>279</v>
      </c>
      <c r="E62" s="1"/>
      <c r="F62" s="119"/>
      <c r="G62" s="119"/>
      <c r="H62" s="119"/>
      <c r="I62" s="124" t="s">
        <v>1994</v>
      </c>
      <c r="J62" s="166" t="s">
        <v>2018</v>
      </c>
      <c r="K62" s="124" t="s">
        <v>1993</v>
      </c>
      <c r="L62" s="166" t="s">
        <v>2032</v>
      </c>
      <c r="M62" s="124" t="s">
        <v>144</v>
      </c>
      <c r="N62" s="166" t="s">
        <v>1995</v>
      </c>
      <c r="O62" s="124" t="s">
        <v>145</v>
      </c>
      <c r="P62" s="124" t="s">
        <v>157</v>
      </c>
      <c r="Q62" s="124" t="s">
        <v>156</v>
      </c>
      <c r="R62" s="124" t="s">
        <v>148</v>
      </c>
      <c r="S62" s="124" t="s">
        <v>162</v>
      </c>
      <c r="T62" s="128" t="s">
        <v>167</v>
      </c>
      <c r="U62" s="131" t="s">
        <v>2014</v>
      </c>
      <c r="V62" s="131" t="s">
        <v>2050</v>
      </c>
      <c r="W62" s="131" t="s">
        <v>2049</v>
      </c>
      <c r="X62" s="802" t="s">
        <v>1313</v>
      </c>
      <c r="Y62" s="802" t="s">
        <v>2050</v>
      </c>
      <c r="Z62" s="802" t="s">
        <v>2049</v>
      </c>
    </row>
    <row r="63" spans="1:26" x14ac:dyDescent="0.2">
      <c r="A63" s="105">
        <v>1</v>
      </c>
      <c r="B63" t="str">
        <f>CONCATENATE("Crosby® Wide Body G-2160  -  ",F63," (metric ton) ","Shackle")</f>
        <v>Crosby® Wide Body G-2160  -  30 (metric ton) Shackle</v>
      </c>
      <c r="C63" s="366">
        <v>60</v>
      </c>
      <c r="D63" t="str">
        <f>CONCATENATE("Wide Body Shackle ( ",F63," metric tons)")</f>
        <v>Wide Body Shackle ( 30 metric tons)</v>
      </c>
      <c r="F63" s="77">
        <v>30</v>
      </c>
      <c r="G63" s="115">
        <v>1021575</v>
      </c>
      <c r="H63" s="115">
        <v>25</v>
      </c>
      <c r="I63" s="115">
        <v>7.73</v>
      </c>
      <c r="J63" s="147">
        <v>1.63</v>
      </c>
      <c r="K63" s="115">
        <v>1.38</v>
      </c>
      <c r="L63" s="125">
        <v>2.5</v>
      </c>
      <c r="M63" s="115">
        <v>3.5</v>
      </c>
      <c r="N63" s="115">
        <v>2.37</v>
      </c>
      <c r="O63" s="115">
        <v>7</v>
      </c>
      <c r="P63" s="115">
        <v>3.13</v>
      </c>
      <c r="Q63" s="115">
        <v>2.5</v>
      </c>
      <c r="R63" s="115">
        <v>8.5</v>
      </c>
      <c r="S63" s="115">
        <v>11.38</v>
      </c>
      <c r="T63" s="7" t="str">
        <f>CONCATENATE(F63," mt")</f>
        <v>30 mt</v>
      </c>
      <c r="U63" s="136">
        <f>F63*2204</f>
        <v>66120</v>
      </c>
      <c r="V63" s="136">
        <f>U63*0.7</f>
        <v>46284</v>
      </c>
      <c r="W63" s="136">
        <f>U63*0.5</f>
        <v>33060</v>
      </c>
      <c r="X63" s="240">
        <f>U63*0.45359237</f>
        <v>29991.527504400001</v>
      </c>
      <c r="Y63" s="240">
        <f>V63*0.45359237</f>
        <v>20994.069253080001</v>
      </c>
      <c r="Z63" s="240">
        <f>W63*0.45359237</f>
        <v>14995.7637522</v>
      </c>
    </row>
    <row r="64" spans="1:26" x14ac:dyDescent="0.2">
      <c r="A64" s="105">
        <v>2</v>
      </c>
      <c r="B64" t="str">
        <f t="shared" ref="B64:B76" si="26">CONCATENATE("Crosby® Wide Body G-2160  -  ",F64," (metric ton) ","Shackle")</f>
        <v>Crosby® Wide Body G-2160  -  40 (metric ton) Shackle</v>
      </c>
      <c r="C64" s="366">
        <v>61</v>
      </c>
      <c r="D64" t="str">
        <f t="shared" ref="D64:D76" si="27">CONCATENATE("Wide Body Shackle ( ",F64," metric tons)")</f>
        <v>Wide Body Shackle ( 40 metric tons)</v>
      </c>
      <c r="F64" s="77">
        <v>40</v>
      </c>
      <c r="G64" s="115">
        <v>1021584</v>
      </c>
      <c r="H64" s="115">
        <v>35</v>
      </c>
      <c r="I64" s="115">
        <v>9.32</v>
      </c>
      <c r="J64" s="147">
        <v>2</v>
      </c>
      <c r="K64" s="115">
        <v>1.75</v>
      </c>
      <c r="L64" s="125">
        <v>1.75</v>
      </c>
      <c r="M64" s="115">
        <v>4</v>
      </c>
      <c r="N64" s="115">
        <v>2.88</v>
      </c>
      <c r="O64" s="115">
        <v>8.1300000000000008</v>
      </c>
      <c r="P64" s="115">
        <v>3.75</v>
      </c>
      <c r="Q64" s="115">
        <v>3</v>
      </c>
      <c r="R64" s="115">
        <v>10.62</v>
      </c>
      <c r="S64" s="115">
        <v>13.62</v>
      </c>
      <c r="T64" s="7" t="str">
        <f t="shared" ref="T64:T76" si="28">CONCATENATE(F64," mt")</f>
        <v>40 mt</v>
      </c>
      <c r="U64" s="136">
        <f t="shared" ref="U64:U76" si="29">F64*2204</f>
        <v>88160</v>
      </c>
      <c r="V64" s="136">
        <f t="shared" ref="V64:V76" si="30">U64*0.7</f>
        <v>61711.999999999993</v>
      </c>
      <c r="W64" s="136">
        <f t="shared" ref="W64:W76" si="31">U64*0.5</f>
        <v>44080</v>
      </c>
      <c r="X64" s="240">
        <f t="shared" ref="X64:X76" si="32">U64*0.45359237</f>
        <v>39988.703339200001</v>
      </c>
      <c r="Y64" s="240">
        <f t="shared" ref="Y64:Y76" si="33">V64*0.45359237</f>
        <v>27992.092337439997</v>
      </c>
      <c r="Z64" s="240">
        <f t="shared" ref="Z64:Z76" si="34">W64*0.45359237</f>
        <v>19994.351669600001</v>
      </c>
    </row>
    <row r="65" spans="1:26" x14ac:dyDescent="0.2">
      <c r="A65" s="105">
        <v>3</v>
      </c>
      <c r="B65" t="str">
        <f t="shared" si="26"/>
        <v>Crosby® Wide Body G-2160  -  55 (metric ton) Shackle</v>
      </c>
      <c r="C65" s="366">
        <v>62</v>
      </c>
      <c r="D65" t="str">
        <f t="shared" si="27"/>
        <v>Wide Body Shackle ( 55 metric tons)</v>
      </c>
      <c r="F65" s="77">
        <v>55</v>
      </c>
      <c r="G65" s="115">
        <v>1021593</v>
      </c>
      <c r="H65" s="115">
        <v>71</v>
      </c>
      <c r="I65" s="115">
        <v>10.41</v>
      </c>
      <c r="J65" s="147">
        <v>2.27</v>
      </c>
      <c r="K65" s="115">
        <v>2</v>
      </c>
      <c r="L65" s="125">
        <v>2</v>
      </c>
      <c r="M65" s="115">
        <v>4.63</v>
      </c>
      <c r="N65" s="115">
        <v>3.25</v>
      </c>
      <c r="O65" s="115">
        <v>9.42</v>
      </c>
      <c r="P65" s="115">
        <v>4.5</v>
      </c>
      <c r="Q65" s="115">
        <v>3.5</v>
      </c>
      <c r="R65" s="115">
        <v>12.26</v>
      </c>
      <c r="S65" s="115">
        <v>15.63</v>
      </c>
      <c r="T65" s="7" t="str">
        <f t="shared" si="28"/>
        <v>55 mt</v>
      </c>
      <c r="U65" s="136">
        <f t="shared" si="29"/>
        <v>121220</v>
      </c>
      <c r="V65" s="136">
        <f t="shared" si="30"/>
        <v>84854</v>
      </c>
      <c r="W65" s="136">
        <f t="shared" si="31"/>
        <v>60610</v>
      </c>
      <c r="X65" s="240">
        <f t="shared" si="32"/>
        <v>54984.467091400002</v>
      </c>
      <c r="Y65" s="240">
        <f t="shared" si="33"/>
        <v>38489.126963980001</v>
      </c>
      <c r="Z65" s="240">
        <f t="shared" si="34"/>
        <v>27492.233545700001</v>
      </c>
    </row>
    <row r="66" spans="1:26" x14ac:dyDescent="0.2">
      <c r="A66" s="105">
        <v>4</v>
      </c>
      <c r="B66" t="str">
        <f t="shared" si="26"/>
        <v>Crosby® Wide Body G-2160  -  75 (metric ton) Shackle</v>
      </c>
      <c r="C66" s="366">
        <v>63</v>
      </c>
      <c r="D66" t="str">
        <f t="shared" si="27"/>
        <v>Wide Body Shackle ( 75 metric tons)</v>
      </c>
      <c r="F66" s="77">
        <v>75</v>
      </c>
      <c r="G66" s="77">
        <v>1021290</v>
      </c>
      <c r="H66" s="77">
        <v>99</v>
      </c>
      <c r="I66" s="77">
        <v>14.37</v>
      </c>
      <c r="J66" s="145">
        <v>2.75</v>
      </c>
      <c r="K66" s="77">
        <v>2.12</v>
      </c>
      <c r="L66" s="126">
        <v>2.5499999999999998</v>
      </c>
      <c r="M66" s="77">
        <v>5</v>
      </c>
      <c r="N66" s="77">
        <v>4.13</v>
      </c>
      <c r="O66" s="77">
        <v>11.6</v>
      </c>
      <c r="P66" s="77">
        <v>4.75</v>
      </c>
      <c r="Q66" s="77">
        <v>3.64</v>
      </c>
      <c r="R66" s="77">
        <v>12.28</v>
      </c>
      <c r="S66" s="77">
        <v>18.41</v>
      </c>
      <c r="T66" s="7" t="str">
        <f t="shared" si="28"/>
        <v>75 mt</v>
      </c>
      <c r="U66" s="136">
        <f t="shared" si="29"/>
        <v>165300</v>
      </c>
      <c r="V66" s="136">
        <f t="shared" si="30"/>
        <v>115709.99999999999</v>
      </c>
      <c r="W66" s="136">
        <f t="shared" si="31"/>
        <v>82650</v>
      </c>
      <c r="X66" s="240">
        <f t="shared" si="32"/>
        <v>74978.818761000002</v>
      </c>
      <c r="Y66" s="240">
        <f t="shared" si="33"/>
        <v>52485.173132699994</v>
      </c>
      <c r="Z66" s="240">
        <f t="shared" si="34"/>
        <v>37489.409380500001</v>
      </c>
    </row>
    <row r="67" spans="1:26" x14ac:dyDescent="0.2">
      <c r="A67" s="105">
        <v>5</v>
      </c>
      <c r="B67" t="str">
        <f t="shared" si="26"/>
        <v>Crosby® Wide Body G-2160  -  125 (metric ton) Shackle</v>
      </c>
      <c r="C67" s="366">
        <v>64</v>
      </c>
      <c r="D67" t="str">
        <f t="shared" si="27"/>
        <v>Wide Body Shackle ( 125 metric tons)</v>
      </c>
      <c r="F67" s="77">
        <v>125</v>
      </c>
      <c r="G67" s="77">
        <v>1021307</v>
      </c>
      <c r="H67" s="77">
        <v>161</v>
      </c>
      <c r="I67" s="77">
        <v>16.510000000000002</v>
      </c>
      <c r="J67" s="145">
        <v>3.15</v>
      </c>
      <c r="K67" s="77">
        <v>2.56</v>
      </c>
      <c r="L67" s="126">
        <v>3.15</v>
      </c>
      <c r="M67" s="77">
        <v>5.71</v>
      </c>
      <c r="N67" s="77">
        <v>5.12</v>
      </c>
      <c r="O67" s="77">
        <v>14.43</v>
      </c>
      <c r="P67" s="77">
        <v>5.91</v>
      </c>
      <c r="Q67" s="77">
        <v>4.33</v>
      </c>
      <c r="R67" s="77">
        <v>14.96</v>
      </c>
      <c r="S67" s="77">
        <v>22.65</v>
      </c>
      <c r="T67" s="7" t="str">
        <f t="shared" si="28"/>
        <v>125 mt</v>
      </c>
      <c r="U67" s="136">
        <f t="shared" si="29"/>
        <v>275500</v>
      </c>
      <c r="V67" s="136">
        <f t="shared" si="30"/>
        <v>192850</v>
      </c>
      <c r="W67" s="136">
        <f t="shared" si="31"/>
        <v>137750</v>
      </c>
      <c r="X67" s="240">
        <f t="shared" si="32"/>
        <v>124964.697935</v>
      </c>
      <c r="Y67" s="240">
        <f t="shared" si="33"/>
        <v>87475.288554500003</v>
      </c>
      <c r="Z67" s="240">
        <f t="shared" si="34"/>
        <v>62482.348967500002</v>
      </c>
    </row>
    <row r="68" spans="1:26" x14ac:dyDescent="0.2">
      <c r="A68" s="105">
        <v>6</v>
      </c>
      <c r="B68" t="str">
        <f t="shared" si="26"/>
        <v>Crosby® Wide Body G-2160  -  200 (metric ton) Shackle</v>
      </c>
      <c r="C68" s="366">
        <v>65</v>
      </c>
      <c r="D68" t="str">
        <f t="shared" si="27"/>
        <v>Wide Body Shackle ( 200 metric tons)</v>
      </c>
      <c r="F68" s="77">
        <v>200</v>
      </c>
      <c r="G68" s="77">
        <v>1021316</v>
      </c>
      <c r="H68" s="77">
        <v>500</v>
      </c>
      <c r="I68" s="77">
        <v>20.67</v>
      </c>
      <c r="J68" s="145">
        <v>4.12</v>
      </c>
      <c r="K68" s="77">
        <v>3.35</v>
      </c>
      <c r="L68" s="126">
        <v>4.33</v>
      </c>
      <c r="M68" s="77">
        <v>7.28</v>
      </c>
      <c r="N68" s="77">
        <v>5.91</v>
      </c>
      <c r="O68" s="77">
        <v>18.98</v>
      </c>
      <c r="P68" s="77">
        <v>8.07</v>
      </c>
      <c r="Q68" s="77">
        <v>5.41</v>
      </c>
      <c r="R68" s="77">
        <v>19.489999999999998</v>
      </c>
      <c r="S68" s="77">
        <v>29.82</v>
      </c>
      <c r="T68" s="7" t="str">
        <f t="shared" si="28"/>
        <v>200 mt</v>
      </c>
      <c r="U68" s="136">
        <f t="shared" si="29"/>
        <v>440800</v>
      </c>
      <c r="V68" s="136">
        <f t="shared" si="30"/>
        <v>308560</v>
      </c>
      <c r="W68" s="136">
        <f t="shared" si="31"/>
        <v>220400</v>
      </c>
      <c r="X68" s="240">
        <f t="shared" si="32"/>
        <v>199943.51669600001</v>
      </c>
      <c r="Y68" s="240">
        <f t="shared" si="33"/>
        <v>139960.4616872</v>
      </c>
      <c r="Z68" s="240">
        <f t="shared" si="34"/>
        <v>99971.758348000003</v>
      </c>
    </row>
    <row r="69" spans="1:26" x14ac:dyDescent="0.2">
      <c r="A69" s="105">
        <v>7</v>
      </c>
      <c r="B69" t="str">
        <f t="shared" si="26"/>
        <v>Crosby® Wide Body G-2160  -  300 (metric ton) Shackle</v>
      </c>
      <c r="C69" s="366">
        <v>66</v>
      </c>
      <c r="D69" t="str">
        <f t="shared" si="27"/>
        <v>Wide Body Shackle ( 300 metric tons)</v>
      </c>
      <c r="F69" s="77">
        <v>300</v>
      </c>
      <c r="G69" s="77">
        <v>1021325</v>
      </c>
      <c r="H69" s="77">
        <v>811</v>
      </c>
      <c r="I69" s="77">
        <v>24.2</v>
      </c>
      <c r="J69" s="145">
        <v>5.25</v>
      </c>
      <c r="K69" s="77">
        <v>4</v>
      </c>
      <c r="L69" s="126">
        <v>5.47</v>
      </c>
      <c r="M69" s="77">
        <v>9.25</v>
      </c>
      <c r="N69" s="77">
        <v>7.38</v>
      </c>
      <c r="O69" s="77">
        <v>23.69</v>
      </c>
      <c r="P69" s="77">
        <v>10.38</v>
      </c>
      <c r="Q69" s="77">
        <v>6.31</v>
      </c>
      <c r="R69" s="77">
        <v>23.38</v>
      </c>
      <c r="S69" s="77">
        <v>37.26</v>
      </c>
      <c r="T69" s="7" t="str">
        <f t="shared" si="28"/>
        <v>300 mt</v>
      </c>
      <c r="U69" s="136">
        <f t="shared" si="29"/>
        <v>661200</v>
      </c>
      <c r="V69" s="136">
        <f t="shared" si="30"/>
        <v>462839.99999999994</v>
      </c>
      <c r="W69" s="136">
        <f t="shared" si="31"/>
        <v>330600</v>
      </c>
      <c r="X69" s="240">
        <f t="shared" si="32"/>
        <v>299915.27504400001</v>
      </c>
      <c r="Y69" s="240">
        <f t="shared" si="33"/>
        <v>209940.69253079998</v>
      </c>
      <c r="Z69" s="240">
        <f t="shared" si="34"/>
        <v>149957.637522</v>
      </c>
    </row>
    <row r="70" spans="1:26" x14ac:dyDescent="0.2">
      <c r="A70" s="105">
        <v>8</v>
      </c>
      <c r="B70" t="str">
        <f t="shared" si="26"/>
        <v>Crosby® Wide Body G-2160  -  400 (metric ton) Shackle</v>
      </c>
      <c r="C70" s="366">
        <v>67</v>
      </c>
      <c r="D70" t="str">
        <f t="shared" si="27"/>
        <v>Wide Body Shackle ( 400 metric tons)</v>
      </c>
      <c r="F70" s="77">
        <v>400</v>
      </c>
      <c r="G70" s="77">
        <v>1021334</v>
      </c>
      <c r="H70" s="77">
        <v>1041</v>
      </c>
      <c r="I70" s="77">
        <v>30.06</v>
      </c>
      <c r="J70" s="145">
        <v>6.3</v>
      </c>
      <c r="K70" s="77">
        <v>5.16</v>
      </c>
      <c r="L70" s="126">
        <v>6.3</v>
      </c>
      <c r="M70" s="77">
        <v>11.81</v>
      </c>
      <c r="N70" s="77">
        <v>8.66</v>
      </c>
      <c r="O70" s="77">
        <v>22.71</v>
      </c>
      <c r="P70" s="77">
        <v>12.6</v>
      </c>
      <c r="Q70" s="77">
        <v>7.28</v>
      </c>
      <c r="R70" s="77">
        <v>27.17</v>
      </c>
      <c r="S70" s="77">
        <v>38.78</v>
      </c>
      <c r="T70" s="7" t="str">
        <f t="shared" si="28"/>
        <v>400 mt</v>
      </c>
      <c r="U70" s="136">
        <f t="shared" si="29"/>
        <v>881600</v>
      </c>
      <c r="V70" s="136">
        <f t="shared" si="30"/>
        <v>617120</v>
      </c>
      <c r="W70" s="136">
        <f t="shared" si="31"/>
        <v>440800</v>
      </c>
      <c r="X70" s="240">
        <f t="shared" si="32"/>
        <v>399887.03339200001</v>
      </c>
      <c r="Y70" s="240">
        <f t="shared" si="33"/>
        <v>279920.92337440001</v>
      </c>
      <c r="Z70" s="240">
        <f t="shared" si="34"/>
        <v>199943.51669600001</v>
      </c>
    </row>
    <row r="71" spans="1:26" x14ac:dyDescent="0.2">
      <c r="A71" s="105">
        <v>9</v>
      </c>
      <c r="B71" t="str">
        <f t="shared" si="26"/>
        <v>Crosby® Wide Body G-2160  -  500 (metric ton) Shackle</v>
      </c>
      <c r="C71" s="366">
        <v>68</v>
      </c>
      <c r="D71" t="str">
        <f t="shared" si="27"/>
        <v>Wide Body Shackle ( 500 metric tons)</v>
      </c>
      <c r="F71" s="77">
        <v>500</v>
      </c>
      <c r="G71" s="77">
        <v>1021343</v>
      </c>
      <c r="H71" s="77">
        <v>1378</v>
      </c>
      <c r="I71" s="77">
        <v>32.99</v>
      </c>
      <c r="J71" s="145">
        <v>7.09</v>
      </c>
      <c r="K71" s="77">
        <v>5.59</v>
      </c>
      <c r="L71" s="126">
        <v>6.69</v>
      </c>
      <c r="M71" s="77">
        <v>12.52</v>
      </c>
      <c r="N71" s="77">
        <v>9.84</v>
      </c>
      <c r="O71" s="77">
        <v>24.88</v>
      </c>
      <c r="P71" s="77">
        <v>13.38</v>
      </c>
      <c r="Q71" s="77">
        <v>8.86</v>
      </c>
      <c r="R71" s="77">
        <v>31.1</v>
      </c>
      <c r="S71" s="77">
        <v>42.71</v>
      </c>
      <c r="T71" s="7" t="str">
        <f t="shared" si="28"/>
        <v>500 mt</v>
      </c>
      <c r="U71" s="136">
        <f t="shared" si="29"/>
        <v>1102000</v>
      </c>
      <c r="V71" s="136">
        <f t="shared" si="30"/>
        <v>771400</v>
      </c>
      <c r="W71" s="136">
        <f t="shared" si="31"/>
        <v>551000</v>
      </c>
      <c r="X71" s="240">
        <f t="shared" si="32"/>
        <v>499858.79174000002</v>
      </c>
      <c r="Y71" s="240">
        <f t="shared" si="33"/>
        <v>349901.15421800001</v>
      </c>
      <c r="Z71" s="240">
        <f t="shared" si="34"/>
        <v>249929.39587000001</v>
      </c>
    </row>
    <row r="72" spans="1:26" x14ac:dyDescent="0.2">
      <c r="A72" s="105">
        <v>10</v>
      </c>
      <c r="B72" t="str">
        <f t="shared" si="26"/>
        <v>Crosby® Wide Body G-2160  -  600 (metric ton) Shackle</v>
      </c>
      <c r="C72" s="366">
        <v>69</v>
      </c>
      <c r="D72" t="str">
        <f t="shared" si="27"/>
        <v>Wide Body Shackle ( 600 metric tons)</v>
      </c>
      <c r="F72" s="77">
        <v>600</v>
      </c>
      <c r="G72" s="77">
        <v>1021352</v>
      </c>
      <c r="H72" s="77">
        <v>1833</v>
      </c>
      <c r="I72" s="77">
        <v>35.39</v>
      </c>
      <c r="J72" s="145">
        <v>7.87</v>
      </c>
      <c r="K72" s="77">
        <v>6.04</v>
      </c>
      <c r="L72" s="126">
        <v>7.28</v>
      </c>
      <c r="M72" s="77">
        <v>13.78</v>
      </c>
      <c r="N72" s="77">
        <v>10.83</v>
      </c>
      <c r="O72" s="77">
        <v>27.64</v>
      </c>
      <c r="P72" s="77">
        <v>14.56</v>
      </c>
      <c r="Q72" s="77">
        <v>9.74</v>
      </c>
      <c r="R72" s="77">
        <v>34.06</v>
      </c>
      <c r="S72" s="77">
        <v>47.24</v>
      </c>
      <c r="T72" s="7" t="str">
        <f t="shared" si="28"/>
        <v>600 mt</v>
      </c>
      <c r="U72" s="136">
        <f t="shared" si="29"/>
        <v>1322400</v>
      </c>
      <c r="V72" s="136">
        <f t="shared" si="30"/>
        <v>925679.99999999988</v>
      </c>
      <c r="W72" s="136">
        <f t="shared" si="31"/>
        <v>661200</v>
      </c>
      <c r="X72" s="240">
        <f t="shared" si="32"/>
        <v>599830.55008800002</v>
      </c>
      <c r="Y72" s="240">
        <f t="shared" si="33"/>
        <v>419881.38506159995</v>
      </c>
      <c r="Z72" s="240">
        <f t="shared" si="34"/>
        <v>299915.27504400001</v>
      </c>
    </row>
    <row r="73" spans="1:26" x14ac:dyDescent="0.2">
      <c r="A73" s="105">
        <v>11</v>
      </c>
      <c r="B73" t="str">
        <f t="shared" si="26"/>
        <v>Crosby® Wide Body G-2160  -  700 (metric ton) Shackle</v>
      </c>
      <c r="C73" s="366">
        <v>70</v>
      </c>
      <c r="D73" t="str">
        <f t="shared" si="27"/>
        <v>Wide Body Shackle ( 700 metric tons)</v>
      </c>
      <c r="F73" s="77">
        <v>700</v>
      </c>
      <c r="G73" s="77">
        <v>1021361</v>
      </c>
      <c r="H73" s="77">
        <v>2446</v>
      </c>
      <c r="I73" s="77">
        <v>38.909999999999997</v>
      </c>
      <c r="J73" s="145">
        <v>8.4600000000000009</v>
      </c>
      <c r="K73" s="77">
        <v>6.59</v>
      </c>
      <c r="L73" s="126">
        <v>7.87</v>
      </c>
      <c r="M73" s="77">
        <v>14.8</v>
      </c>
      <c r="N73" s="77">
        <v>11.81</v>
      </c>
      <c r="O73" s="77">
        <v>29.04</v>
      </c>
      <c r="P73" s="77">
        <v>15.74</v>
      </c>
      <c r="Q73" s="77">
        <v>10.63</v>
      </c>
      <c r="R73" s="77">
        <v>37.01</v>
      </c>
      <c r="S73" s="77">
        <v>50.17</v>
      </c>
      <c r="T73" s="7" t="str">
        <f t="shared" si="28"/>
        <v>700 mt</v>
      </c>
      <c r="U73" s="136">
        <f t="shared" si="29"/>
        <v>1542800</v>
      </c>
      <c r="V73" s="136">
        <f t="shared" si="30"/>
        <v>1079960</v>
      </c>
      <c r="W73" s="136">
        <f t="shared" si="31"/>
        <v>771400</v>
      </c>
      <c r="X73" s="240">
        <f t="shared" si="32"/>
        <v>699802.30843600002</v>
      </c>
      <c r="Y73" s="240">
        <f t="shared" si="33"/>
        <v>489861.61590520001</v>
      </c>
      <c r="Z73" s="240">
        <f t="shared" si="34"/>
        <v>349901.15421800001</v>
      </c>
    </row>
    <row r="74" spans="1:26" x14ac:dyDescent="0.2">
      <c r="A74" s="105">
        <v>12</v>
      </c>
      <c r="B74" t="str">
        <f t="shared" si="26"/>
        <v>Crosby® Wide Body G-2160  -  800 (metric ton) Shackle</v>
      </c>
      <c r="C74" s="366">
        <v>71</v>
      </c>
      <c r="D74" t="str">
        <f t="shared" si="27"/>
        <v>Wide Body Shackle ( 800 metric tons)</v>
      </c>
      <c r="F74" s="77">
        <v>800</v>
      </c>
      <c r="G74" s="77">
        <v>1021254</v>
      </c>
      <c r="H74" s="77">
        <v>3016</v>
      </c>
      <c r="I74" s="77">
        <v>43.5</v>
      </c>
      <c r="J74" s="145">
        <v>9.06</v>
      </c>
      <c r="K74" s="77">
        <v>7.19</v>
      </c>
      <c r="L74" s="126">
        <v>8.27</v>
      </c>
      <c r="M74" s="77">
        <v>15.75</v>
      </c>
      <c r="N74" s="77">
        <v>12.8</v>
      </c>
      <c r="O74" s="77">
        <v>29.62</v>
      </c>
      <c r="P74" s="77">
        <v>16.54</v>
      </c>
      <c r="Q74" s="77">
        <v>10.92</v>
      </c>
      <c r="R74" s="77">
        <v>38.39</v>
      </c>
      <c r="S74" s="77">
        <v>52.09</v>
      </c>
      <c r="T74" s="7" t="str">
        <f t="shared" si="28"/>
        <v>800 mt</v>
      </c>
      <c r="U74" s="136">
        <f t="shared" si="29"/>
        <v>1763200</v>
      </c>
      <c r="V74" s="136">
        <f t="shared" si="30"/>
        <v>1234240</v>
      </c>
      <c r="W74" s="136">
        <f t="shared" si="31"/>
        <v>881600</v>
      </c>
      <c r="X74" s="240">
        <f t="shared" si="32"/>
        <v>799774.06678400002</v>
      </c>
      <c r="Y74" s="240">
        <f t="shared" si="33"/>
        <v>559841.84674880002</v>
      </c>
      <c r="Z74" s="240">
        <f t="shared" si="34"/>
        <v>399887.03339200001</v>
      </c>
    </row>
    <row r="75" spans="1:26" x14ac:dyDescent="0.2">
      <c r="A75" s="105">
        <v>13</v>
      </c>
      <c r="B75" t="str">
        <f t="shared" si="26"/>
        <v>Crosby® Wide Body G-2160  -  900 (metric ton) Shackle</v>
      </c>
      <c r="C75" s="366">
        <v>72</v>
      </c>
      <c r="D75" t="str">
        <f>CONCATENATE("Wide Body Shackle ( ",F75," metric tons)")</f>
        <v>Wide Body Shackle ( 900 metric tons)</v>
      </c>
      <c r="F75" s="77">
        <v>900</v>
      </c>
      <c r="G75" s="77">
        <v>1021389</v>
      </c>
      <c r="H75" s="77">
        <v>3436</v>
      </c>
      <c r="I75" s="77">
        <v>43.6</v>
      </c>
      <c r="J75" s="145">
        <v>9.84</v>
      </c>
      <c r="K75" s="77">
        <v>7.78</v>
      </c>
      <c r="L75" s="126">
        <v>8.66</v>
      </c>
      <c r="M75" s="77">
        <v>16.93</v>
      </c>
      <c r="N75" s="77">
        <v>13.78</v>
      </c>
      <c r="O75" s="77">
        <v>30.02</v>
      </c>
      <c r="P75" s="77">
        <v>17.32</v>
      </c>
      <c r="Q75" s="77">
        <v>11.51</v>
      </c>
      <c r="R75" s="77">
        <v>40.35</v>
      </c>
      <c r="S75" s="77">
        <v>54.04</v>
      </c>
      <c r="T75" s="7" t="str">
        <f t="shared" si="28"/>
        <v>900 mt</v>
      </c>
      <c r="U75" s="136">
        <f t="shared" si="29"/>
        <v>1983600</v>
      </c>
      <c r="V75" s="136">
        <f t="shared" si="30"/>
        <v>1388520</v>
      </c>
      <c r="W75" s="136">
        <f t="shared" si="31"/>
        <v>991800</v>
      </c>
      <c r="X75" s="240">
        <f t="shared" si="32"/>
        <v>899745.82513200003</v>
      </c>
      <c r="Y75" s="240">
        <f t="shared" si="33"/>
        <v>629822.07759240002</v>
      </c>
      <c r="Z75" s="240">
        <f t="shared" si="34"/>
        <v>449872.91256600001</v>
      </c>
    </row>
    <row r="76" spans="1:26" x14ac:dyDescent="0.2">
      <c r="A76" s="105">
        <v>14</v>
      </c>
      <c r="B76" t="str">
        <f t="shared" si="26"/>
        <v>Crosby® Wide Body G-2160  -  1000 (metric ton) Shackle</v>
      </c>
      <c r="C76" s="366">
        <v>73</v>
      </c>
      <c r="D76" t="str">
        <f t="shared" si="27"/>
        <v>Wide Body Shackle ( 1000 metric tons)</v>
      </c>
      <c r="F76" s="77">
        <v>1000</v>
      </c>
      <c r="G76" s="77">
        <v>1021370</v>
      </c>
      <c r="H76" s="77">
        <v>4022</v>
      </c>
      <c r="I76" s="77">
        <v>45.98</v>
      </c>
      <c r="J76" s="145">
        <v>10.63</v>
      </c>
      <c r="K76" s="77">
        <v>8.33</v>
      </c>
      <c r="L76" s="126">
        <v>9.06</v>
      </c>
      <c r="M76" s="77">
        <v>17.72</v>
      </c>
      <c r="N76" s="77">
        <v>14.96</v>
      </c>
      <c r="O76" s="77">
        <v>30.02</v>
      </c>
      <c r="P76" s="77">
        <v>18.12</v>
      </c>
      <c r="Q76" s="77">
        <v>12.11</v>
      </c>
      <c r="R76" s="77">
        <v>42.32</v>
      </c>
      <c r="S76" s="77">
        <v>55.32</v>
      </c>
      <c r="T76" s="7" t="str">
        <f t="shared" si="28"/>
        <v>1000 mt</v>
      </c>
      <c r="U76" s="136">
        <f t="shared" si="29"/>
        <v>2204000</v>
      </c>
      <c r="V76" s="136">
        <f t="shared" si="30"/>
        <v>1542800</v>
      </c>
      <c r="W76" s="136">
        <f t="shared" si="31"/>
        <v>1102000</v>
      </c>
      <c r="X76" s="240">
        <f t="shared" si="32"/>
        <v>999717.58348000003</v>
      </c>
      <c r="Y76" s="240">
        <f t="shared" si="33"/>
        <v>699802.30843600002</v>
      </c>
      <c r="Z76" s="240">
        <f t="shared" si="34"/>
        <v>499858.79174000002</v>
      </c>
    </row>
    <row r="77" spans="1:26" ht="20.25" x14ac:dyDescent="0.2">
      <c r="A77" s="105">
        <v>15</v>
      </c>
      <c r="B77" s="1" t="s">
        <v>268</v>
      </c>
      <c r="C77" s="366">
        <v>74</v>
      </c>
      <c r="D77" s="170" t="s">
        <v>279</v>
      </c>
      <c r="E77" s="169" t="s">
        <v>263</v>
      </c>
      <c r="F77" s="95" t="s">
        <v>264</v>
      </c>
      <c r="G77" s="96" t="s">
        <v>141</v>
      </c>
      <c r="H77" s="95" t="s">
        <v>265</v>
      </c>
      <c r="I77" s="168"/>
      <c r="J77" s="167" t="s">
        <v>142</v>
      </c>
      <c r="K77" s="168" t="s">
        <v>1881</v>
      </c>
      <c r="L77" s="167" t="s">
        <v>143</v>
      </c>
      <c r="M77" s="1"/>
      <c r="N77" s="1"/>
      <c r="O77" s="1"/>
      <c r="P77" s="1"/>
      <c r="Q77" s="1"/>
      <c r="R77" s="1"/>
      <c r="S77" s="1"/>
      <c r="T77" s="1"/>
      <c r="U77" s="1"/>
      <c r="V77" s="1"/>
      <c r="W77" s="1"/>
    </row>
    <row r="78" spans="1:26" x14ac:dyDescent="0.2">
      <c r="A78" s="105">
        <v>16</v>
      </c>
      <c r="B78" s="186" t="s">
        <v>269</v>
      </c>
      <c r="C78" s="366">
        <v>75</v>
      </c>
      <c r="D78" s="186" t="s">
        <v>360</v>
      </c>
      <c r="E78" s="187">
        <v>1</v>
      </c>
      <c r="F78" s="187"/>
      <c r="G78" s="187"/>
      <c r="H78" s="188">
        <v>1</v>
      </c>
      <c r="I78" s="187"/>
      <c r="J78" s="189">
        <v>1</v>
      </c>
      <c r="K78" s="187"/>
      <c r="L78" s="189">
        <v>1</v>
      </c>
      <c r="M78" s="187"/>
      <c r="N78" s="187"/>
      <c r="O78" s="187"/>
      <c r="P78" s="187"/>
      <c r="Q78" s="187"/>
      <c r="R78" s="187"/>
      <c r="S78" s="187"/>
      <c r="T78" s="187"/>
      <c r="U78" s="187"/>
      <c r="V78" s="187"/>
      <c r="W78" s="187"/>
    </row>
    <row r="79" spans="1:26" x14ac:dyDescent="0.2">
      <c r="A79" s="105">
        <v>17</v>
      </c>
      <c r="B79" s="186" t="s">
        <v>270</v>
      </c>
      <c r="C79" s="366">
        <v>76</v>
      </c>
      <c r="D79" s="186" t="s">
        <v>275</v>
      </c>
      <c r="E79" s="187">
        <v>2</v>
      </c>
      <c r="F79" s="187"/>
      <c r="G79" s="187"/>
      <c r="H79" s="188">
        <v>2</v>
      </c>
      <c r="I79" s="187"/>
      <c r="J79" s="189">
        <v>2</v>
      </c>
      <c r="K79" s="187"/>
      <c r="L79" s="189">
        <v>2</v>
      </c>
      <c r="M79" s="187"/>
      <c r="N79" s="187"/>
      <c r="O79" s="187"/>
      <c r="P79" s="187"/>
      <c r="Q79" s="187"/>
      <c r="R79" s="187"/>
      <c r="S79" s="187"/>
      <c r="T79" s="187"/>
      <c r="U79" s="187"/>
      <c r="V79" s="187"/>
      <c r="W79" s="187"/>
    </row>
    <row r="80" spans="1:26" x14ac:dyDescent="0.2">
      <c r="A80" s="105">
        <v>18</v>
      </c>
      <c r="B80" s="186" t="s">
        <v>271</v>
      </c>
      <c r="C80" s="366">
        <v>77</v>
      </c>
      <c r="D80" s="186" t="s">
        <v>1991</v>
      </c>
      <c r="E80" s="187">
        <v>3</v>
      </c>
      <c r="F80" s="187"/>
      <c r="G80" s="187"/>
      <c r="H80" s="188">
        <v>3</v>
      </c>
      <c r="I80" s="187"/>
      <c r="J80" s="189">
        <v>3</v>
      </c>
      <c r="K80" s="187"/>
      <c r="L80" s="189">
        <v>3</v>
      </c>
      <c r="M80" s="187"/>
      <c r="N80" s="187"/>
      <c r="O80" s="187"/>
      <c r="P80" s="187"/>
      <c r="Q80" s="187"/>
      <c r="R80" s="187"/>
      <c r="S80" s="187"/>
      <c r="T80" s="187"/>
      <c r="U80" s="187"/>
      <c r="V80" s="187"/>
      <c r="W80" s="187"/>
    </row>
    <row r="81" spans="1:26" x14ac:dyDescent="0.2">
      <c r="A81" s="105">
        <v>19</v>
      </c>
      <c r="B81" s="186" t="s">
        <v>272</v>
      </c>
      <c r="C81" s="366">
        <v>78</v>
      </c>
      <c r="D81" s="186" t="s">
        <v>276</v>
      </c>
      <c r="E81" s="187">
        <v>4</v>
      </c>
      <c r="F81" s="187"/>
      <c r="G81" s="187"/>
      <c r="H81" s="188">
        <v>4</v>
      </c>
      <c r="I81" s="187"/>
      <c r="J81" s="189">
        <v>4</v>
      </c>
      <c r="K81" s="187"/>
      <c r="L81" s="189">
        <v>4</v>
      </c>
      <c r="M81" s="187"/>
      <c r="N81" s="187"/>
      <c r="O81" s="187"/>
      <c r="P81" s="187"/>
      <c r="Q81" s="187"/>
      <c r="R81" s="187"/>
      <c r="S81" s="187"/>
      <c r="T81" s="187"/>
      <c r="U81" s="187"/>
      <c r="V81" s="187"/>
      <c r="W81" s="187"/>
    </row>
    <row r="82" spans="1:26" x14ac:dyDescent="0.2">
      <c r="A82" s="105">
        <v>20</v>
      </c>
      <c r="B82" s="186" t="s">
        <v>273</v>
      </c>
      <c r="C82" s="366">
        <v>79</v>
      </c>
      <c r="D82" s="186" t="s">
        <v>277</v>
      </c>
      <c r="E82" s="187">
        <v>5</v>
      </c>
      <c r="F82" s="187"/>
      <c r="G82" s="187"/>
      <c r="H82" s="188">
        <v>5</v>
      </c>
      <c r="I82" s="187"/>
      <c r="J82" s="189">
        <v>5</v>
      </c>
      <c r="K82" s="187"/>
      <c r="L82" s="189">
        <v>5</v>
      </c>
      <c r="M82" s="187"/>
      <c r="N82" s="187"/>
      <c r="O82" s="187"/>
      <c r="P82" s="187"/>
      <c r="Q82" s="187"/>
      <c r="R82" s="187"/>
      <c r="S82" s="187"/>
      <c r="T82" s="187"/>
      <c r="U82" s="187"/>
      <c r="V82" s="187"/>
      <c r="W82" s="187"/>
    </row>
    <row r="83" spans="1:26" x14ac:dyDescent="0.2">
      <c r="A83" s="105">
        <v>21</v>
      </c>
      <c r="B83" s="186" t="s">
        <v>274</v>
      </c>
      <c r="C83" s="366">
        <v>80</v>
      </c>
      <c r="D83" s="186" t="s">
        <v>278</v>
      </c>
      <c r="E83" s="187">
        <v>6</v>
      </c>
      <c r="F83" s="187"/>
      <c r="G83" s="187"/>
      <c r="H83" s="188">
        <v>6</v>
      </c>
      <c r="I83" s="187"/>
      <c r="J83" s="189">
        <v>6</v>
      </c>
      <c r="K83" s="187"/>
      <c r="L83" s="189">
        <v>6</v>
      </c>
      <c r="M83" s="187"/>
      <c r="N83" s="190"/>
      <c r="O83" s="187"/>
      <c r="P83" s="187"/>
      <c r="Q83" s="187"/>
      <c r="R83" s="187"/>
      <c r="S83" s="187"/>
      <c r="T83" s="187"/>
      <c r="U83" s="187"/>
      <c r="V83" s="187"/>
      <c r="W83" s="187"/>
    </row>
    <row r="84" spans="1:26" x14ac:dyDescent="0.2">
      <c r="B84" s="824" t="s">
        <v>362</v>
      </c>
      <c r="C84" s="366">
        <v>81</v>
      </c>
      <c r="J84" s="134"/>
      <c r="K84" s="12"/>
      <c r="L84" s="134"/>
      <c r="M84" s="12"/>
      <c r="N84" s="134"/>
    </row>
    <row r="85" spans="1:26" x14ac:dyDescent="0.2">
      <c r="B85" s="824" t="s">
        <v>363</v>
      </c>
      <c r="C85" s="366">
        <v>82</v>
      </c>
      <c r="J85" s="134"/>
      <c r="K85" s="12"/>
      <c r="L85" s="134"/>
      <c r="M85" s="12"/>
      <c r="N85" s="134"/>
    </row>
    <row r="86" spans="1:26" x14ac:dyDescent="0.2">
      <c r="C86" s="366">
        <v>83</v>
      </c>
      <c r="J86" s="134"/>
      <c r="K86" s="12"/>
      <c r="L86" s="134"/>
      <c r="M86" s="12"/>
      <c r="N86" s="134"/>
    </row>
    <row r="87" spans="1:26" x14ac:dyDescent="0.2">
      <c r="B87" s="1" t="s">
        <v>256</v>
      </c>
      <c r="C87" s="366">
        <v>84</v>
      </c>
      <c r="D87" s="170" t="s">
        <v>279</v>
      </c>
      <c r="E87" s="100"/>
      <c r="F87" s="101"/>
      <c r="G87" s="102"/>
      <c r="H87" s="100"/>
      <c r="I87" s="102" t="s">
        <v>1994</v>
      </c>
      <c r="J87" s="142" t="s">
        <v>1995</v>
      </c>
      <c r="K87" s="111" t="s">
        <v>1993</v>
      </c>
      <c r="L87" s="140" t="s">
        <v>2018</v>
      </c>
      <c r="M87" s="102" t="s">
        <v>144</v>
      </c>
      <c r="N87" s="102" t="s">
        <v>2031</v>
      </c>
      <c r="O87" s="102" t="s">
        <v>2032</v>
      </c>
      <c r="P87" s="102" t="s">
        <v>156</v>
      </c>
      <c r="Q87" s="102" t="s">
        <v>146</v>
      </c>
      <c r="R87" s="103" t="s">
        <v>147</v>
      </c>
      <c r="T87" s="128" t="s">
        <v>167</v>
      </c>
      <c r="U87" s="131" t="s">
        <v>2014</v>
      </c>
      <c r="V87" s="131" t="s">
        <v>2050</v>
      </c>
      <c r="W87" s="131" t="s">
        <v>2049</v>
      </c>
      <c r="X87" s="802" t="s">
        <v>1313</v>
      </c>
      <c r="Y87" s="802" t="s">
        <v>2050</v>
      </c>
      <c r="Z87" s="802" t="s">
        <v>2049</v>
      </c>
    </row>
    <row r="88" spans="1:26" x14ac:dyDescent="0.2">
      <c r="B88" t="str">
        <f>CONCATENATE("Crosby® G-210 CARBON ",E88,"Screw pin CHAIN Shackle WLL: ",T88," (t)")</f>
        <v>Crosby® G-210 CARBON 1/4"Screw pin CHAIN Shackle WLL:  1/2 (t)</v>
      </c>
      <c r="C88" s="366">
        <v>85</v>
      </c>
      <c r="D88" t="str">
        <f>CONCATENATE(E88," CARBON Screw Pin Chain (",T88," t)")</f>
        <v>1/4" CARBON Screw Pin Chain ( 1/2 t)</v>
      </c>
      <c r="E88" s="90" t="s">
        <v>2033</v>
      </c>
      <c r="F88" s="109">
        <v>0.5</v>
      </c>
      <c r="G88" s="107">
        <v>1019150</v>
      </c>
      <c r="H88" s="107">
        <v>0.11</v>
      </c>
      <c r="I88" s="107">
        <v>0.47</v>
      </c>
      <c r="J88" s="143">
        <v>0.31</v>
      </c>
      <c r="K88" s="107">
        <v>0.25</v>
      </c>
      <c r="L88" s="141">
        <v>0.25</v>
      </c>
      <c r="M88" s="107">
        <v>0.97</v>
      </c>
      <c r="N88" s="107">
        <v>0.62</v>
      </c>
      <c r="O88" s="107">
        <v>0.97</v>
      </c>
      <c r="P88" s="107">
        <v>1.59</v>
      </c>
      <c r="Q88" s="107">
        <v>0.19</v>
      </c>
      <c r="R88" s="108">
        <v>1.43</v>
      </c>
      <c r="T88" s="135" t="s">
        <v>164</v>
      </c>
      <c r="U88" s="136">
        <f t="shared" ref="U88:U103" si="35">F88*2000</f>
        <v>1000</v>
      </c>
      <c r="V88" s="136">
        <f>U88*0.7</f>
        <v>700</v>
      </c>
      <c r="W88" s="136">
        <f>U88*0.5</f>
        <v>500</v>
      </c>
      <c r="X88" s="239">
        <f>U88*0.45359237</f>
        <v>453.59237000000002</v>
      </c>
      <c r="Y88" s="239">
        <f>V88*0.45359237</f>
        <v>317.51465899999999</v>
      </c>
      <c r="Z88" s="239">
        <f>W88*0.45359237</f>
        <v>226.79618500000001</v>
      </c>
    </row>
    <row r="89" spans="1:26" x14ac:dyDescent="0.2">
      <c r="B89" t="str">
        <f t="shared" ref="B89:B103" si="36">CONCATENATE("Crosby® G-210 CARBON ",E89,"Screw pin CHAIN Shackle WLL: ",T89," (t)")</f>
        <v>Crosby® G-210 CARBON 5/16"Screw pin CHAIN Shackle WLL:  3/4 (t)</v>
      </c>
      <c r="C89" s="366">
        <v>86</v>
      </c>
      <c r="D89" t="str">
        <f t="shared" ref="D89:D103" si="37">CONCATENATE(E89," CARBON Screw Pin Chain (",T89," t)")</f>
        <v>5/16" CARBON Screw Pin Chain ( 3/4 t)</v>
      </c>
      <c r="E89" s="90" t="s">
        <v>2034</v>
      </c>
      <c r="F89" s="110">
        <v>0.75</v>
      </c>
      <c r="G89" s="107">
        <v>1019178</v>
      </c>
      <c r="H89" s="107">
        <v>0.17</v>
      </c>
      <c r="I89" s="107">
        <v>0.53</v>
      </c>
      <c r="J89" s="143">
        <v>0.38</v>
      </c>
      <c r="K89" s="107">
        <v>0.31</v>
      </c>
      <c r="L89" s="141">
        <v>0.31</v>
      </c>
      <c r="M89" s="107">
        <v>1.1499999999999999</v>
      </c>
      <c r="N89" s="107">
        <v>0.75</v>
      </c>
      <c r="O89" s="107">
        <v>1.07</v>
      </c>
      <c r="P89" s="107">
        <v>1.91</v>
      </c>
      <c r="Q89" s="107">
        <v>0.22</v>
      </c>
      <c r="R89" s="108">
        <v>1.71</v>
      </c>
      <c r="T89" s="135" t="s">
        <v>165</v>
      </c>
      <c r="U89" s="136">
        <f t="shared" si="35"/>
        <v>1500</v>
      </c>
      <c r="V89" s="136">
        <f t="shared" ref="V89:V103" si="38">U89*0.7</f>
        <v>1050</v>
      </c>
      <c r="W89" s="136">
        <f t="shared" ref="W89:W103" si="39">U89*0.5</f>
        <v>750</v>
      </c>
      <c r="X89" s="239">
        <f t="shared" ref="X89:X103" si="40">U89*0.45359237</f>
        <v>680.388555</v>
      </c>
      <c r="Y89" s="239">
        <f t="shared" ref="Y89:Y103" si="41">V89*0.45359237</f>
        <v>476.27198850000002</v>
      </c>
      <c r="Z89" s="239">
        <f t="shared" ref="Z89:Z103" si="42">W89*0.45359237</f>
        <v>340.1942775</v>
      </c>
    </row>
    <row r="90" spans="1:26" x14ac:dyDescent="0.2">
      <c r="B90" t="str">
        <f t="shared" si="36"/>
        <v>Crosby® G-210 CARBON 3/8"Screw pin CHAIN Shackle WLL: 1 (t)</v>
      </c>
      <c r="C90" s="366">
        <v>87</v>
      </c>
      <c r="D90" t="str">
        <f t="shared" si="37"/>
        <v>3/8" CARBON Screw Pin Chain (1 t)</v>
      </c>
      <c r="E90" s="90" t="s">
        <v>2035</v>
      </c>
      <c r="F90" s="109">
        <v>1</v>
      </c>
      <c r="G90" s="107">
        <v>1019196</v>
      </c>
      <c r="H90" s="107">
        <v>0.28000000000000003</v>
      </c>
      <c r="I90" s="107">
        <v>0.66</v>
      </c>
      <c r="J90" s="143">
        <v>0.44</v>
      </c>
      <c r="K90" s="107">
        <v>0.38</v>
      </c>
      <c r="L90" s="141">
        <v>0.38</v>
      </c>
      <c r="M90" s="107">
        <v>1.42</v>
      </c>
      <c r="N90" s="107">
        <v>0.92</v>
      </c>
      <c r="O90" s="107">
        <v>1.28</v>
      </c>
      <c r="P90" s="107">
        <v>2.31</v>
      </c>
      <c r="Q90" s="107">
        <v>0.25</v>
      </c>
      <c r="R90" s="108">
        <v>2.02</v>
      </c>
      <c r="T90" s="135">
        <v>1</v>
      </c>
      <c r="U90" s="136">
        <f t="shared" si="35"/>
        <v>2000</v>
      </c>
      <c r="V90" s="136">
        <f t="shared" si="38"/>
        <v>1400</v>
      </c>
      <c r="W90" s="136">
        <f t="shared" si="39"/>
        <v>1000</v>
      </c>
      <c r="X90" s="239">
        <f t="shared" si="40"/>
        <v>907.18474000000003</v>
      </c>
      <c r="Y90" s="239">
        <f t="shared" si="41"/>
        <v>635.02931799999999</v>
      </c>
      <c r="Z90" s="239">
        <f t="shared" si="42"/>
        <v>453.59237000000002</v>
      </c>
    </row>
    <row r="91" spans="1:26" x14ac:dyDescent="0.2">
      <c r="B91" t="str">
        <f t="shared" si="36"/>
        <v>Crosby® G-210 CARBON 7/16"Screw pin CHAIN Shackle WLL: 1.5 (t)</v>
      </c>
      <c r="C91" s="366">
        <v>88</v>
      </c>
      <c r="D91" t="str">
        <f t="shared" si="37"/>
        <v>7/16" CARBON Screw Pin Chain (1.5 t)</v>
      </c>
      <c r="E91" s="90" t="s">
        <v>2036</v>
      </c>
      <c r="F91" s="109">
        <v>1.5</v>
      </c>
      <c r="G91" s="107">
        <v>1019212</v>
      </c>
      <c r="H91" s="107">
        <v>0.43</v>
      </c>
      <c r="I91" s="107">
        <v>0.75</v>
      </c>
      <c r="J91" s="143">
        <v>0.5</v>
      </c>
      <c r="K91" s="107">
        <v>0.44</v>
      </c>
      <c r="L91" s="141">
        <v>0.44</v>
      </c>
      <c r="M91" s="107">
        <v>1.63</v>
      </c>
      <c r="N91" s="107">
        <v>1.06</v>
      </c>
      <c r="O91" s="107">
        <v>1.48</v>
      </c>
      <c r="P91" s="107">
        <v>2.67</v>
      </c>
      <c r="Q91" s="107">
        <v>0.31</v>
      </c>
      <c r="R91" s="108">
        <v>2.37</v>
      </c>
      <c r="T91" s="157">
        <v>1.5</v>
      </c>
      <c r="U91" s="136">
        <f t="shared" si="35"/>
        <v>3000</v>
      </c>
      <c r="V91" s="136">
        <f t="shared" si="38"/>
        <v>2100</v>
      </c>
      <c r="W91" s="136">
        <f t="shared" si="39"/>
        <v>1500</v>
      </c>
      <c r="X91" s="239">
        <f t="shared" si="40"/>
        <v>1360.77711</v>
      </c>
      <c r="Y91" s="239">
        <f t="shared" si="41"/>
        <v>952.54397700000004</v>
      </c>
      <c r="Z91" s="239">
        <f t="shared" si="42"/>
        <v>680.388555</v>
      </c>
    </row>
    <row r="92" spans="1:26" x14ac:dyDescent="0.2">
      <c r="B92" t="str">
        <f t="shared" si="36"/>
        <v>Crosby® G-210 CARBON 1/2"Screw pin CHAIN Shackle WLL: 2 (t)</v>
      </c>
      <c r="C92" s="366">
        <v>89</v>
      </c>
      <c r="D92" t="str">
        <f t="shared" si="37"/>
        <v>1/2" CARBON Screw Pin Chain (2 t)</v>
      </c>
      <c r="E92" s="90" t="s">
        <v>2037</v>
      </c>
      <c r="F92" s="109">
        <v>2</v>
      </c>
      <c r="G92" s="107">
        <v>1019230</v>
      </c>
      <c r="H92" s="107">
        <v>0.59</v>
      </c>
      <c r="I92" s="107">
        <v>0.81</v>
      </c>
      <c r="J92" s="143">
        <v>0.63</v>
      </c>
      <c r="K92" s="107">
        <v>0.5</v>
      </c>
      <c r="L92" s="141">
        <v>0.5</v>
      </c>
      <c r="M92" s="107">
        <v>1.81</v>
      </c>
      <c r="N92" s="107">
        <v>1.18</v>
      </c>
      <c r="O92" s="107">
        <v>1.66</v>
      </c>
      <c r="P92" s="107">
        <v>3.03</v>
      </c>
      <c r="Q92" s="107">
        <v>0.38</v>
      </c>
      <c r="R92" s="108">
        <v>2.69</v>
      </c>
      <c r="T92" s="135">
        <v>2</v>
      </c>
      <c r="U92" s="136">
        <f t="shared" si="35"/>
        <v>4000</v>
      </c>
      <c r="V92" s="136">
        <f t="shared" si="38"/>
        <v>2800</v>
      </c>
      <c r="W92" s="136">
        <f t="shared" si="39"/>
        <v>2000</v>
      </c>
      <c r="X92" s="239">
        <f t="shared" si="40"/>
        <v>1814.3694800000001</v>
      </c>
      <c r="Y92" s="239">
        <f t="shared" si="41"/>
        <v>1270.058636</v>
      </c>
      <c r="Z92" s="239">
        <f t="shared" si="42"/>
        <v>907.18474000000003</v>
      </c>
    </row>
    <row r="93" spans="1:26" x14ac:dyDescent="0.2">
      <c r="B93" t="str">
        <f t="shared" si="36"/>
        <v>Crosby® G-210 CARBON 5/8"Screw pin CHAIN Shackle WLL: 3.25 (t)</v>
      </c>
      <c r="C93" s="366">
        <v>90</v>
      </c>
      <c r="D93" t="str">
        <f t="shared" si="37"/>
        <v>5/8" CARBON Screw Pin Chain (3.25 t)</v>
      </c>
      <c r="E93" s="90" t="s">
        <v>2038</v>
      </c>
      <c r="F93" s="110">
        <v>3.25</v>
      </c>
      <c r="G93" s="107">
        <v>1019258</v>
      </c>
      <c r="H93" s="107">
        <v>1.25</v>
      </c>
      <c r="I93" s="107">
        <v>1.06</v>
      </c>
      <c r="J93" s="143">
        <v>0.75</v>
      </c>
      <c r="K93" s="107">
        <v>0.63</v>
      </c>
      <c r="L93" s="141">
        <v>0.63</v>
      </c>
      <c r="M93" s="107">
        <v>2.3199999999999998</v>
      </c>
      <c r="N93" s="107">
        <v>1.5</v>
      </c>
      <c r="O93" s="107">
        <v>2.04</v>
      </c>
      <c r="P93" s="107">
        <v>3.76</v>
      </c>
      <c r="Q93" s="107">
        <v>0.44</v>
      </c>
      <c r="R93" s="108">
        <v>3.34</v>
      </c>
      <c r="T93" s="157">
        <v>3.25</v>
      </c>
      <c r="U93" s="136">
        <f t="shared" si="35"/>
        <v>6500</v>
      </c>
      <c r="V93" s="136">
        <f t="shared" si="38"/>
        <v>4550</v>
      </c>
      <c r="W93" s="136">
        <f t="shared" si="39"/>
        <v>3250</v>
      </c>
      <c r="X93" s="239">
        <f t="shared" si="40"/>
        <v>2948.3504050000001</v>
      </c>
      <c r="Y93" s="239">
        <f t="shared" si="41"/>
        <v>2063.8452835000003</v>
      </c>
      <c r="Z93" s="239">
        <f t="shared" si="42"/>
        <v>1474.1752025000001</v>
      </c>
    </row>
    <row r="94" spans="1:26" x14ac:dyDescent="0.2">
      <c r="B94" t="str">
        <f t="shared" si="36"/>
        <v>Crosby® G-210 CARBON 3/4" Screw pin CHAIN Shackle WLL: 4.75 (t)</v>
      </c>
      <c r="C94" s="366">
        <v>91</v>
      </c>
      <c r="D94" t="str">
        <f t="shared" si="37"/>
        <v>3/4"  CARBON Screw Pin Chain (4.75 t)</v>
      </c>
      <c r="E94" s="90" t="s">
        <v>150</v>
      </c>
      <c r="F94" s="110">
        <v>4.75</v>
      </c>
      <c r="G94" s="107">
        <v>1019276</v>
      </c>
      <c r="H94" s="107">
        <v>2.63</v>
      </c>
      <c r="I94" s="107">
        <v>1.25</v>
      </c>
      <c r="J94" s="143">
        <v>0.88</v>
      </c>
      <c r="K94" s="107">
        <v>0.81</v>
      </c>
      <c r="L94" s="141">
        <v>0.75</v>
      </c>
      <c r="M94" s="107">
        <v>2.75</v>
      </c>
      <c r="N94" s="107">
        <v>1.81</v>
      </c>
      <c r="O94" s="107">
        <v>2.4</v>
      </c>
      <c r="P94" s="107">
        <v>4.53</v>
      </c>
      <c r="Q94" s="107">
        <v>0.5</v>
      </c>
      <c r="R94" s="108">
        <v>3.97</v>
      </c>
      <c r="T94" s="157">
        <v>4.75</v>
      </c>
      <c r="U94" s="136">
        <f t="shared" si="35"/>
        <v>9500</v>
      </c>
      <c r="V94" s="136">
        <f t="shared" si="38"/>
        <v>6650</v>
      </c>
      <c r="W94" s="136">
        <f t="shared" si="39"/>
        <v>4750</v>
      </c>
      <c r="X94" s="239">
        <f t="shared" si="40"/>
        <v>4309.1275150000001</v>
      </c>
      <c r="Y94" s="239">
        <f t="shared" si="41"/>
        <v>3016.3892605000001</v>
      </c>
      <c r="Z94" s="239">
        <f t="shared" si="42"/>
        <v>2154.5637575000001</v>
      </c>
    </row>
    <row r="95" spans="1:26" x14ac:dyDescent="0.2">
      <c r="B95" t="str">
        <f t="shared" si="36"/>
        <v>Crosby® G-210 CARBON 7/8"Screw pin CHAIN Shackle WLL: 6.5 (t)</v>
      </c>
      <c r="C95" s="366">
        <v>92</v>
      </c>
      <c r="D95" t="str">
        <f t="shared" si="37"/>
        <v>7/8" CARBON Screw Pin Chain (6.5 t)</v>
      </c>
      <c r="E95" s="90" t="s">
        <v>2039</v>
      </c>
      <c r="F95" s="109">
        <v>6.5</v>
      </c>
      <c r="G95" s="107">
        <v>1019294</v>
      </c>
      <c r="H95" s="107">
        <v>3.16</v>
      </c>
      <c r="I95" s="107">
        <v>1.44</v>
      </c>
      <c r="J95" s="143">
        <v>1</v>
      </c>
      <c r="K95" s="107">
        <v>0.97</v>
      </c>
      <c r="L95" s="141">
        <v>0.88</v>
      </c>
      <c r="M95" s="107">
        <v>3.2</v>
      </c>
      <c r="N95" s="107">
        <v>2.1</v>
      </c>
      <c r="O95" s="107">
        <v>2.86</v>
      </c>
      <c r="P95" s="107">
        <v>5.33</v>
      </c>
      <c r="Q95" s="107">
        <v>0.5</v>
      </c>
      <c r="R95" s="108">
        <v>4.5</v>
      </c>
      <c r="T95" s="157">
        <v>6.5</v>
      </c>
      <c r="U95" s="136">
        <f t="shared" si="35"/>
        <v>13000</v>
      </c>
      <c r="V95" s="136">
        <f t="shared" si="38"/>
        <v>9100</v>
      </c>
      <c r="W95" s="136">
        <f t="shared" si="39"/>
        <v>6500</v>
      </c>
      <c r="X95" s="239">
        <f t="shared" si="40"/>
        <v>5896.7008100000003</v>
      </c>
      <c r="Y95" s="239">
        <f t="shared" si="41"/>
        <v>4127.6905670000006</v>
      </c>
      <c r="Z95" s="239">
        <f t="shared" si="42"/>
        <v>2948.3504050000001</v>
      </c>
    </row>
    <row r="96" spans="1:26" x14ac:dyDescent="0.2">
      <c r="B96" t="str">
        <f t="shared" si="36"/>
        <v>Crosby® G-210 CARBON 1" Screw pin CHAIN Shackle WLL: 8.5 (t)</v>
      </c>
      <c r="C96" s="366">
        <v>93</v>
      </c>
      <c r="D96" t="str">
        <f t="shared" si="37"/>
        <v>1"  CARBON Screw Pin Chain (8.5 t)</v>
      </c>
      <c r="E96" s="90" t="s">
        <v>151</v>
      </c>
      <c r="F96" s="109">
        <v>8.5</v>
      </c>
      <c r="G96" s="107">
        <v>1019310</v>
      </c>
      <c r="H96" s="107">
        <v>4.75</v>
      </c>
      <c r="I96" s="107">
        <v>1.69</v>
      </c>
      <c r="J96" s="143">
        <v>1.1299999999999999</v>
      </c>
      <c r="K96" s="107">
        <v>1</v>
      </c>
      <c r="L96" s="141">
        <v>1</v>
      </c>
      <c r="M96" s="107">
        <v>3.69</v>
      </c>
      <c r="N96" s="107">
        <v>2.38</v>
      </c>
      <c r="O96" s="107">
        <v>3.24</v>
      </c>
      <c r="P96" s="107">
        <v>5.94</v>
      </c>
      <c r="Q96" s="107">
        <v>0.56000000000000005</v>
      </c>
      <c r="R96" s="108">
        <v>5.13</v>
      </c>
      <c r="T96" s="157">
        <v>8.5</v>
      </c>
      <c r="U96" s="136">
        <f t="shared" si="35"/>
        <v>17000</v>
      </c>
      <c r="V96" s="136">
        <f t="shared" si="38"/>
        <v>11900</v>
      </c>
      <c r="W96" s="136">
        <f t="shared" si="39"/>
        <v>8500</v>
      </c>
      <c r="X96" s="239">
        <f t="shared" si="40"/>
        <v>7711.0702900000006</v>
      </c>
      <c r="Y96" s="239">
        <f t="shared" si="41"/>
        <v>5397.7492030000003</v>
      </c>
      <c r="Z96" s="239">
        <f t="shared" si="42"/>
        <v>3855.5351450000003</v>
      </c>
    </row>
    <row r="97" spans="2:26" x14ac:dyDescent="0.2">
      <c r="B97" t="str">
        <f t="shared" si="36"/>
        <v>Crosby® G-210 CARBON 1-1/8"Screw pin CHAIN Shackle WLL: 9.5 (t)</v>
      </c>
      <c r="C97" s="366">
        <v>94</v>
      </c>
      <c r="D97" t="str">
        <f t="shared" si="37"/>
        <v>1-1/8" CARBON Screw Pin Chain (9.5 t)</v>
      </c>
      <c r="E97" s="90" t="s">
        <v>2040</v>
      </c>
      <c r="F97" s="109">
        <v>9.5</v>
      </c>
      <c r="G97" s="107">
        <v>1019338</v>
      </c>
      <c r="H97" s="107">
        <v>6.75</v>
      </c>
      <c r="I97" s="107">
        <v>1.81</v>
      </c>
      <c r="J97" s="143">
        <v>1.25</v>
      </c>
      <c r="K97" s="107">
        <v>1.25</v>
      </c>
      <c r="L97" s="141">
        <v>1.1299999999999999</v>
      </c>
      <c r="M97" s="107">
        <v>4.07</v>
      </c>
      <c r="N97" s="107">
        <v>2.69</v>
      </c>
      <c r="O97" s="107">
        <v>3.61</v>
      </c>
      <c r="P97" s="107">
        <v>6.78</v>
      </c>
      <c r="Q97" s="107">
        <v>0.63</v>
      </c>
      <c r="R97" s="108">
        <v>5.71</v>
      </c>
      <c r="T97" s="157">
        <v>9.5</v>
      </c>
      <c r="U97" s="136">
        <f t="shared" si="35"/>
        <v>19000</v>
      </c>
      <c r="V97" s="136">
        <f t="shared" si="38"/>
        <v>13300</v>
      </c>
      <c r="W97" s="136">
        <f t="shared" si="39"/>
        <v>9500</v>
      </c>
      <c r="X97" s="239">
        <f t="shared" si="40"/>
        <v>8618.2550300000003</v>
      </c>
      <c r="Y97" s="239">
        <f t="shared" si="41"/>
        <v>6032.7785210000002</v>
      </c>
      <c r="Z97" s="239">
        <f t="shared" si="42"/>
        <v>4309.1275150000001</v>
      </c>
    </row>
    <row r="98" spans="2:26" x14ac:dyDescent="0.2">
      <c r="B98" t="str">
        <f t="shared" si="36"/>
        <v>Crosby® G-210 CARBON 1-1/4"Screw pin CHAIN Shackle WLL: 12 (t)</v>
      </c>
      <c r="C98" s="366">
        <v>95</v>
      </c>
      <c r="D98" t="str">
        <f t="shared" si="37"/>
        <v>1-1/4" CARBON Screw Pin Chain (12 t)</v>
      </c>
      <c r="E98" s="90" t="s">
        <v>2041</v>
      </c>
      <c r="F98" s="109">
        <v>12</v>
      </c>
      <c r="G98" s="107">
        <v>1019356</v>
      </c>
      <c r="H98" s="107">
        <v>9.06</v>
      </c>
      <c r="I98" s="107">
        <v>2.0299999999999998</v>
      </c>
      <c r="J98" s="143">
        <v>1.38</v>
      </c>
      <c r="K98" s="107">
        <v>1.38</v>
      </c>
      <c r="L98" s="141">
        <v>1.25</v>
      </c>
      <c r="M98" s="107">
        <v>4.53</v>
      </c>
      <c r="N98" s="107">
        <v>3</v>
      </c>
      <c r="O98" s="107">
        <v>3.97</v>
      </c>
      <c r="P98" s="107">
        <v>7.5</v>
      </c>
      <c r="Q98" s="107">
        <v>0.69</v>
      </c>
      <c r="R98" s="108">
        <v>6.25</v>
      </c>
      <c r="T98" s="135">
        <v>12</v>
      </c>
      <c r="U98" s="136">
        <f t="shared" si="35"/>
        <v>24000</v>
      </c>
      <c r="V98" s="136">
        <f t="shared" si="38"/>
        <v>16800</v>
      </c>
      <c r="W98" s="136">
        <f t="shared" si="39"/>
        <v>12000</v>
      </c>
      <c r="X98" s="239">
        <f t="shared" si="40"/>
        <v>10886.21688</v>
      </c>
      <c r="Y98" s="239">
        <f t="shared" si="41"/>
        <v>7620.3518160000003</v>
      </c>
      <c r="Z98" s="239">
        <f t="shared" si="42"/>
        <v>5443.10844</v>
      </c>
    </row>
    <row r="99" spans="2:26" x14ac:dyDescent="0.2">
      <c r="B99" t="str">
        <f t="shared" si="36"/>
        <v>Crosby® G-210 CARBON 1-3/8" Screw pin CHAIN Shackle WLL: 13.5 (t)</v>
      </c>
      <c r="C99" s="366">
        <v>96</v>
      </c>
      <c r="D99" t="str">
        <f t="shared" si="37"/>
        <v>1-3/8"  CARBON Screw Pin Chain (13.5 t)</v>
      </c>
      <c r="E99" s="90" t="s">
        <v>152</v>
      </c>
      <c r="F99" s="109">
        <v>13.5</v>
      </c>
      <c r="G99" s="107">
        <v>1019374</v>
      </c>
      <c r="H99" s="107">
        <v>11.63</v>
      </c>
      <c r="I99" s="107">
        <v>2.25</v>
      </c>
      <c r="J99" s="143">
        <v>1.5</v>
      </c>
      <c r="K99" s="107">
        <v>1.5</v>
      </c>
      <c r="L99" s="141">
        <v>1.38</v>
      </c>
      <c r="M99" s="107">
        <v>5.01</v>
      </c>
      <c r="N99" s="107">
        <v>3.31</v>
      </c>
      <c r="O99" s="107">
        <v>4.43</v>
      </c>
      <c r="P99" s="107">
        <v>8.2799999999999994</v>
      </c>
      <c r="Q99" s="107">
        <v>0.75</v>
      </c>
      <c r="R99" s="108">
        <v>6.83</v>
      </c>
      <c r="T99" s="157">
        <v>13.5</v>
      </c>
      <c r="U99" s="136">
        <f t="shared" si="35"/>
        <v>27000</v>
      </c>
      <c r="V99" s="136">
        <f t="shared" si="38"/>
        <v>18900</v>
      </c>
      <c r="W99" s="136">
        <f t="shared" si="39"/>
        <v>13500</v>
      </c>
      <c r="X99" s="239">
        <f t="shared" si="40"/>
        <v>12246.993990000001</v>
      </c>
      <c r="Y99" s="239">
        <f t="shared" si="41"/>
        <v>8572.8957929999997</v>
      </c>
      <c r="Z99" s="239">
        <f t="shared" si="42"/>
        <v>6123.4969950000004</v>
      </c>
    </row>
    <row r="100" spans="2:26" x14ac:dyDescent="0.2">
      <c r="B100" t="str">
        <f t="shared" si="36"/>
        <v>Crosby® G-210 CARBON 1-1/2"Screw pin CHAIN Shackle WLL: 17 (t)</v>
      </c>
      <c r="C100" s="366">
        <v>97</v>
      </c>
      <c r="D100" t="str">
        <f t="shared" si="37"/>
        <v>1-1/2" CARBON Screw Pin Chain (17 t)</v>
      </c>
      <c r="E100" s="90" t="s">
        <v>2042</v>
      </c>
      <c r="F100" s="109">
        <v>17</v>
      </c>
      <c r="G100" s="107">
        <v>1019392</v>
      </c>
      <c r="H100" s="107">
        <v>15.95</v>
      </c>
      <c r="I100" s="107">
        <v>2.38</v>
      </c>
      <c r="J100" s="143">
        <v>1.63</v>
      </c>
      <c r="K100" s="107">
        <v>1.62</v>
      </c>
      <c r="L100" s="141">
        <v>1.5</v>
      </c>
      <c r="M100" s="107">
        <v>5.38</v>
      </c>
      <c r="N100" s="107">
        <v>3.62</v>
      </c>
      <c r="O100" s="107">
        <v>4.84</v>
      </c>
      <c r="P100" s="107">
        <v>9.0500000000000007</v>
      </c>
      <c r="Q100" s="107">
        <v>0.81</v>
      </c>
      <c r="R100" s="108">
        <v>7.33</v>
      </c>
      <c r="T100" s="135">
        <v>17</v>
      </c>
      <c r="U100" s="136">
        <f t="shared" si="35"/>
        <v>34000</v>
      </c>
      <c r="V100" s="136">
        <f t="shared" si="38"/>
        <v>23800</v>
      </c>
      <c r="W100" s="136">
        <f t="shared" si="39"/>
        <v>17000</v>
      </c>
      <c r="X100" s="239">
        <f t="shared" si="40"/>
        <v>15422.140580000001</v>
      </c>
      <c r="Y100" s="239">
        <f t="shared" si="41"/>
        <v>10795.498406000001</v>
      </c>
      <c r="Z100" s="239">
        <f t="shared" si="42"/>
        <v>7711.0702900000006</v>
      </c>
    </row>
    <row r="101" spans="2:26" x14ac:dyDescent="0.2">
      <c r="B101" t="str">
        <f t="shared" si="36"/>
        <v>Crosby® G-210 CARBON 1-3/4" Screw pin CHAIN Shackle WLL: 25 (t)</v>
      </c>
      <c r="C101" s="366">
        <v>98</v>
      </c>
      <c r="D101" t="str">
        <f t="shared" si="37"/>
        <v>1-3/4"  CARBON Screw Pin Chain (25 t)</v>
      </c>
      <c r="E101" s="90" t="s">
        <v>153</v>
      </c>
      <c r="F101" s="109">
        <v>25</v>
      </c>
      <c r="G101" s="107">
        <v>1019418</v>
      </c>
      <c r="H101" s="107">
        <v>26.75</v>
      </c>
      <c r="I101" s="107">
        <v>2.88</v>
      </c>
      <c r="J101" s="143">
        <v>2</v>
      </c>
      <c r="K101" s="107">
        <v>2.12</v>
      </c>
      <c r="L101" s="141">
        <v>1.75</v>
      </c>
      <c r="M101" s="107">
        <v>6.38</v>
      </c>
      <c r="N101" s="107">
        <v>4.1900000000000004</v>
      </c>
      <c r="O101" s="107">
        <v>5.78</v>
      </c>
      <c r="P101" s="107">
        <v>10.97</v>
      </c>
      <c r="Q101" s="107">
        <v>1</v>
      </c>
      <c r="R101" s="108">
        <v>9.06</v>
      </c>
      <c r="T101" s="135">
        <v>25</v>
      </c>
      <c r="U101" s="136">
        <f t="shared" si="35"/>
        <v>50000</v>
      </c>
      <c r="V101" s="136">
        <f t="shared" si="38"/>
        <v>35000</v>
      </c>
      <c r="W101" s="136">
        <f t="shared" si="39"/>
        <v>25000</v>
      </c>
      <c r="X101" s="239">
        <f t="shared" si="40"/>
        <v>22679.6185</v>
      </c>
      <c r="Y101" s="239">
        <f t="shared" si="41"/>
        <v>15875.732950000001</v>
      </c>
      <c r="Z101" s="239">
        <f t="shared" si="42"/>
        <v>11339.80925</v>
      </c>
    </row>
    <row r="102" spans="2:26" x14ac:dyDescent="0.2">
      <c r="B102" t="str">
        <f t="shared" si="36"/>
        <v>Crosby® G-210 CARBON 2" Screw pin CHAIN Shackle WLL: 35 (t)</v>
      </c>
      <c r="C102" s="366">
        <v>99</v>
      </c>
      <c r="D102" t="str">
        <f t="shared" si="37"/>
        <v>2"  CARBON Screw Pin Chain (35 t)</v>
      </c>
      <c r="E102" s="90" t="s">
        <v>154</v>
      </c>
      <c r="F102" s="109">
        <v>35</v>
      </c>
      <c r="G102" s="107">
        <v>1019436</v>
      </c>
      <c r="H102" s="107">
        <v>42.31</v>
      </c>
      <c r="I102" s="107">
        <v>3.25</v>
      </c>
      <c r="J102" s="143">
        <v>2.25</v>
      </c>
      <c r="K102" s="107">
        <v>2.36</v>
      </c>
      <c r="L102" s="141">
        <v>2.1</v>
      </c>
      <c r="M102" s="107">
        <v>7.25</v>
      </c>
      <c r="N102" s="107">
        <v>5</v>
      </c>
      <c r="O102" s="107">
        <v>6.77</v>
      </c>
      <c r="P102" s="107">
        <v>12.74</v>
      </c>
      <c r="Q102" s="107">
        <v>1.1299999999999999</v>
      </c>
      <c r="R102" s="108">
        <v>10.35</v>
      </c>
      <c r="T102" s="135">
        <v>35</v>
      </c>
      <c r="U102" s="136">
        <f t="shared" si="35"/>
        <v>70000</v>
      </c>
      <c r="V102" s="136">
        <f t="shared" si="38"/>
        <v>49000</v>
      </c>
      <c r="W102" s="136">
        <f t="shared" si="39"/>
        <v>35000</v>
      </c>
      <c r="X102" s="239">
        <f t="shared" si="40"/>
        <v>31751.465900000003</v>
      </c>
      <c r="Y102" s="239">
        <f t="shared" si="41"/>
        <v>22226.026130000002</v>
      </c>
      <c r="Z102" s="239">
        <f t="shared" si="42"/>
        <v>15875.732950000001</v>
      </c>
    </row>
    <row r="103" spans="2:26" x14ac:dyDescent="0.2">
      <c r="B103" t="str">
        <f t="shared" si="36"/>
        <v>Crosby® G-210 CARBON 2-1/2" Screw pin CHAIN Shackle WLL: 55 (t)</v>
      </c>
      <c r="C103" s="366">
        <v>100</v>
      </c>
      <c r="D103" t="str">
        <f t="shared" si="37"/>
        <v>2-1/2"  CARBON Screw Pin Chain (55 t)</v>
      </c>
      <c r="E103" s="90" t="s">
        <v>155</v>
      </c>
      <c r="F103" s="109">
        <v>55</v>
      </c>
      <c r="G103" s="107">
        <v>1019454</v>
      </c>
      <c r="H103" s="107">
        <v>71.75</v>
      </c>
      <c r="I103" s="107">
        <v>4.12</v>
      </c>
      <c r="J103" s="143">
        <v>2.75</v>
      </c>
      <c r="K103" s="107">
        <v>2.63</v>
      </c>
      <c r="L103" s="141">
        <v>2.63</v>
      </c>
      <c r="M103" s="107">
        <v>9.3800000000000008</v>
      </c>
      <c r="N103" s="107">
        <v>5.68</v>
      </c>
      <c r="O103" s="107">
        <v>8.07</v>
      </c>
      <c r="P103" s="107">
        <v>14.85</v>
      </c>
      <c r="Q103" s="107">
        <v>1.38</v>
      </c>
      <c r="R103" s="108">
        <v>13</v>
      </c>
      <c r="T103" s="135">
        <v>55</v>
      </c>
      <c r="U103" s="136">
        <f t="shared" si="35"/>
        <v>110000</v>
      </c>
      <c r="V103" s="136">
        <f t="shared" si="38"/>
        <v>77000</v>
      </c>
      <c r="W103" s="136">
        <f t="shared" si="39"/>
        <v>55000</v>
      </c>
      <c r="X103" s="239">
        <f t="shared" si="40"/>
        <v>49895.1607</v>
      </c>
      <c r="Y103" s="239">
        <f t="shared" si="41"/>
        <v>34926.61249</v>
      </c>
      <c r="Z103" s="239">
        <f t="shared" si="42"/>
        <v>24947.58035</v>
      </c>
    </row>
  </sheetData>
  <sheetProtection sheet="1" objects="1" scenarios="1"/>
  <phoneticPr fontId="15" type="noConversion"/>
  <hyperlinks>
    <hyperlink ref="B84" location="Shackles!A1" tooltip="RETURN TO SHACKLE PAGE" display="CLICK HERE TO RETURN TO SHACKLE PAGE"/>
    <hyperlink ref="B85" location="'2 Leg Config'!A1" display="CLICK HERE TO RETURN TO 2-LEG CALCULATION PAGE"/>
  </hyperlinks>
  <pageMargins left="0.75" right="0.75" top="1" bottom="1" header="0.5" footer="0.5"/>
  <headerFooter alignWithMargins="0"/>
  <ignoredErrors>
    <ignoredError sqref="T40" numberStoredAsText="1"/>
  </ignoredErrors>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M78"/>
  <sheetViews>
    <sheetView topLeftCell="A36" workbookViewId="0">
      <selection activeCell="C61" sqref="C61"/>
    </sheetView>
  </sheetViews>
  <sheetFormatPr defaultRowHeight="12.75" x14ac:dyDescent="0.2"/>
  <cols>
    <col min="1" max="1" width="3" bestFit="1" customWidth="1"/>
    <col min="3" max="3" width="54.5703125" bestFit="1" customWidth="1"/>
    <col min="4" max="4" width="11.140625" customWidth="1"/>
    <col min="5" max="5" width="13.28515625" customWidth="1"/>
    <col min="6" max="6" width="12.5703125" customWidth="1"/>
    <col min="7" max="7" width="10.85546875" customWidth="1"/>
    <col min="8" max="8" width="33.5703125" bestFit="1" customWidth="1"/>
    <col min="9" max="9" width="45.5703125" bestFit="1" customWidth="1"/>
    <col min="10" max="10" width="26.140625" customWidth="1"/>
    <col min="11" max="11" width="11.140625" bestFit="1" customWidth="1"/>
  </cols>
  <sheetData>
    <row r="1" spans="1:11" x14ac:dyDescent="0.2">
      <c r="B1" s="24" t="s">
        <v>2077</v>
      </c>
      <c r="C1" s="75" t="s">
        <v>140</v>
      </c>
      <c r="D1" s="75" t="s">
        <v>2109</v>
      </c>
      <c r="E1" s="75" t="s">
        <v>36</v>
      </c>
      <c r="F1" s="75" t="s">
        <v>37</v>
      </c>
      <c r="G1" s="75"/>
      <c r="H1" s="75" t="s">
        <v>139</v>
      </c>
      <c r="I1" s="75" t="s">
        <v>290</v>
      </c>
      <c r="J1" s="75" t="s">
        <v>453</v>
      </c>
      <c r="K1" s="75" t="s">
        <v>452</v>
      </c>
    </row>
    <row r="2" spans="1:11" x14ac:dyDescent="0.2">
      <c r="A2" s="8">
        <v>1</v>
      </c>
      <c r="B2" s="86">
        <v>1</v>
      </c>
      <c r="C2" s="86" t="s">
        <v>408</v>
      </c>
      <c r="D2" s="86">
        <v>400</v>
      </c>
      <c r="E2" s="86">
        <f t="shared" ref="E2:E13" si="0">D2*0.55</f>
        <v>220.00000000000003</v>
      </c>
      <c r="F2" s="86">
        <f t="shared" ref="F2:F13" si="1">D2*0.25</f>
        <v>100</v>
      </c>
      <c r="G2" s="86"/>
      <c r="H2" s="92" t="s">
        <v>292</v>
      </c>
      <c r="I2" t="s">
        <v>407</v>
      </c>
    </row>
    <row r="3" spans="1:11" x14ac:dyDescent="0.2">
      <c r="A3" s="8">
        <v>2</v>
      </c>
      <c r="B3" s="86">
        <v>2</v>
      </c>
      <c r="C3" s="86" t="s">
        <v>409</v>
      </c>
      <c r="D3" s="86">
        <v>680</v>
      </c>
      <c r="E3" s="86">
        <f t="shared" si="0"/>
        <v>374.00000000000006</v>
      </c>
      <c r="F3" s="86">
        <f t="shared" si="1"/>
        <v>170</v>
      </c>
      <c r="G3" s="86"/>
      <c r="H3" s="92" t="s">
        <v>293</v>
      </c>
      <c r="I3" t="s">
        <v>407</v>
      </c>
    </row>
    <row r="4" spans="1:11" x14ac:dyDescent="0.2">
      <c r="A4" s="8">
        <v>3</v>
      </c>
      <c r="B4" s="86">
        <v>3</v>
      </c>
      <c r="C4" s="86" t="s">
        <v>410</v>
      </c>
      <c r="D4" s="86">
        <v>1000</v>
      </c>
      <c r="E4" s="86">
        <f t="shared" si="0"/>
        <v>550</v>
      </c>
      <c r="F4" s="86">
        <f t="shared" si="1"/>
        <v>250</v>
      </c>
      <c r="G4" s="86"/>
      <c r="H4" s="92" t="s">
        <v>294</v>
      </c>
      <c r="I4" t="s">
        <v>407</v>
      </c>
    </row>
    <row r="5" spans="1:11" x14ac:dyDescent="0.2">
      <c r="A5" s="8">
        <v>4</v>
      </c>
      <c r="B5" s="86">
        <v>4</v>
      </c>
      <c r="C5" s="86" t="s">
        <v>411</v>
      </c>
      <c r="D5" s="86">
        <v>1840</v>
      </c>
      <c r="E5" s="86">
        <f t="shared" si="0"/>
        <v>1012.0000000000001</v>
      </c>
      <c r="F5" s="86">
        <f t="shared" si="1"/>
        <v>460</v>
      </c>
      <c r="G5" s="86"/>
      <c r="H5" s="92" t="s">
        <v>295</v>
      </c>
      <c r="I5" t="s">
        <v>407</v>
      </c>
    </row>
    <row r="6" spans="1:11" x14ac:dyDescent="0.2">
      <c r="A6" s="8">
        <v>5</v>
      </c>
      <c r="B6" s="86">
        <v>5</v>
      </c>
      <c r="C6" s="86" t="s">
        <v>412</v>
      </c>
      <c r="D6" s="86">
        <v>2940</v>
      </c>
      <c r="E6" s="86">
        <f t="shared" si="0"/>
        <v>1617.0000000000002</v>
      </c>
      <c r="F6" s="86">
        <f t="shared" si="1"/>
        <v>735</v>
      </c>
      <c r="G6" s="86"/>
      <c r="H6" s="92" t="s">
        <v>296</v>
      </c>
      <c r="I6" t="s">
        <v>407</v>
      </c>
    </row>
    <row r="7" spans="1:11" x14ac:dyDescent="0.2">
      <c r="A7" s="8">
        <v>6</v>
      </c>
      <c r="B7" s="86">
        <v>6</v>
      </c>
      <c r="C7" s="86" t="s">
        <v>413</v>
      </c>
      <c r="D7" s="86">
        <v>4340</v>
      </c>
      <c r="E7" s="86">
        <f t="shared" si="0"/>
        <v>2387</v>
      </c>
      <c r="F7" s="86">
        <f t="shared" si="1"/>
        <v>1085</v>
      </c>
      <c r="G7" s="86"/>
      <c r="H7" s="92" t="s">
        <v>297</v>
      </c>
      <c r="I7" t="s">
        <v>407</v>
      </c>
    </row>
    <row r="8" spans="1:11" x14ac:dyDescent="0.2">
      <c r="A8" s="8">
        <v>7</v>
      </c>
      <c r="B8" s="86">
        <v>7</v>
      </c>
      <c r="C8" s="86" t="s">
        <v>414</v>
      </c>
      <c r="D8" s="86">
        <v>6000</v>
      </c>
      <c r="E8" s="86">
        <f t="shared" si="0"/>
        <v>3300.0000000000005</v>
      </c>
      <c r="F8" s="86">
        <f t="shared" si="1"/>
        <v>1500</v>
      </c>
      <c r="G8" s="86"/>
      <c r="H8" s="92" t="s">
        <v>298</v>
      </c>
      <c r="I8" t="s">
        <v>407</v>
      </c>
    </row>
    <row r="9" spans="1:11" x14ac:dyDescent="0.2">
      <c r="A9" s="8">
        <v>8</v>
      </c>
      <c r="B9" s="86">
        <v>8</v>
      </c>
      <c r="C9" s="86" t="s">
        <v>415</v>
      </c>
      <c r="D9" s="86">
        <v>7880</v>
      </c>
      <c r="E9" s="86">
        <f t="shared" si="0"/>
        <v>4334</v>
      </c>
      <c r="F9" s="86">
        <f t="shared" si="1"/>
        <v>1970</v>
      </c>
      <c r="G9" s="86"/>
      <c r="H9" s="92" t="s">
        <v>299</v>
      </c>
      <c r="I9" t="s">
        <v>407</v>
      </c>
    </row>
    <row r="10" spans="1:11" x14ac:dyDescent="0.2">
      <c r="A10" s="8">
        <v>9</v>
      </c>
      <c r="B10" s="86">
        <v>9</v>
      </c>
      <c r="C10" s="86" t="s">
        <v>416</v>
      </c>
      <c r="D10" s="86">
        <v>12600</v>
      </c>
      <c r="E10" s="86">
        <f t="shared" si="0"/>
        <v>6930.0000000000009</v>
      </c>
      <c r="F10" s="86">
        <f t="shared" si="1"/>
        <v>3150</v>
      </c>
      <c r="G10" s="86"/>
      <c r="H10" s="92" t="s">
        <v>300</v>
      </c>
      <c r="I10" t="s">
        <v>407</v>
      </c>
    </row>
    <row r="11" spans="1:11" x14ac:dyDescent="0.2">
      <c r="A11" s="8">
        <v>10</v>
      </c>
      <c r="B11" s="86">
        <v>10</v>
      </c>
      <c r="C11" s="86" t="s">
        <v>417</v>
      </c>
      <c r="D11" s="86">
        <v>18260</v>
      </c>
      <c r="E11" s="86">
        <f t="shared" si="0"/>
        <v>10043</v>
      </c>
      <c r="F11" s="86">
        <f t="shared" si="1"/>
        <v>4565</v>
      </c>
      <c r="G11" s="86"/>
      <c r="H11" s="92" t="s">
        <v>301</v>
      </c>
      <c r="I11" t="s">
        <v>407</v>
      </c>
    </row>
    <row r="12" spans="1:11" x14ac:dyDescent="0.2">
      <c r="A12" s="8">
        <v>11</v>
      </c>
      <c r="B12" s="86">
        <v>11</v>
      </c>
      <c r="C12" s="92" t="s">
        <v>418</v>
      </c>
      <c r="D12" s="86">
        <v>24700</v>
      </c>
      <c r="E12" s="86">
        <f t="shared" si="0"/>
        <v>13585.000000000002</v>
      </c>
      <c r="F12" s="86">
        <f t="shared" si="1"/>
        <v>6175</v>
      </c>
      <c r="G12" s="86"/>
      <c r="H12" s="92" t="s">
        <v>405</v>
      </c>
      <c r="I12" t="s">
        <v>407</v>
      </c>
    </row>
    <row r="13" spans="1:11" x14ac:dyDescent="0.2">
      <c r="A13" s="8">
        <v>12</v>
      </c>
      <c r="B13" s="86">
        <v>12</v>
      </c>
      <c r="C13" s="86" t="s">
        <v>422</v>
      </c>
      <c r="D13" s="86">
        <v>32500</v>
      </c>
      <c r="E13" s="86">
        <f t="shared" si="0"/>
        <v>17875</v>
      </c>
      <c r="F13" s="86">
        <f t="shared" si="1"/>
        <v>8125</v>
      </c>
      <c r="G13" s="86"/>
      <c r="H13" s="92" t="s">
        <v>406</v>
      </c>
      <c r="I13" t="s">
        <v>407</v>
      </c>
    </row>
    <row r="14" spans="1:11" x14ac:dyDescent="0.2">
      <c r="A14" s="8">
        <v>13</v>
      </c>
      <c r="B14" s="79"/>
      <c r="C14" s="75"/>
      <c r="D14" s="75" t="s">
        <v>2109</v>
      </c>
      <c r="E14" s="75">
        <v>60</v>
      </c>
      <c r="F14" s="75">
        <v>45</v>
      </c>
      <c r="G14" s="192" t="s">
        <v>289</v>
      </c>
      <c r="H14" s="75"/>
    </row>
    <row r="15" spans="1:11" x14ac:dyDescent="0.2">
      <c r="A15" s="8">
        <v>14</v>
      </c>
      <c r="B15" s="82">
        <v>1</v>
      </c>
      <c r="C15" s="83" t="s">
        <v>43</v>
      </c>
      <c r="D15" s="84">
        <v>650</v>
      </c>
      <c r="E15" s="191">
        <v>420</v>
      </c>
      <c r="F15" s="191">
        <v>195</v>
      </c>
      <c r="G15" s="91">
        <v>160</v>
      </c>
      <c r="H15" s="83" t="s">
        <v>93</v>
      </c>
      <c r="I15" s="193" t="s">
        <v>291</v>
      </c>
    </row>
    <row r="16" spans="1:11" x14ac:dyDescent="0.2">
      <c r="A16" s="8">
        <v>15</v>
      </c>
      <c r="B16" s="82">
        <v>2</v>
      </c>
      <c r="C16" s="83" t="s">
        <v>44</v>
      </c>
      <c r="D16" s="84">
        <v>1200</v>
      </c>
      <c r="E16" s="191">
        <v>780</v>
      </c>
      <c r="F16" s="191">
        <v>360</v>
      </c>
      <c r="G16" s="83">
        <v>300</v>
      </c>
      <c r="H16" s="83" t="s">
        <v>94</v>
      </c>
      <c r="I16" s="193" t="s">
        <v>291</v>
      </c>
    </row>
    <row r="17" spans="1:11" x14ac:dyDescent="0.2">
      <c r="A17" s="8">
        <v>16</v>
      </c>
      <c r="B17" s="82">
        <v>3</v>
      </c>
      <c r="C17" s="83" t="s">
        <v>45</v>
      </c>
      <c r="D17" s="84">
        <v>1550</v>
      </c>
      <c r="E17" s="191">
        <v>1000</v>
      </c>
      <c r="F17" s="191">
        <v>465</v>
      </c>
      <c r="G17" s="83">
        <v>380</v>
      </c>
      <c r="H17" s="83" t="s">
        <v>95</v>
      </c>
      <c r="I17" s="193" t="s">
        <v>291</v>
      </c>
    </row>
    <row r="18" spans="1:11" x14ac:dyDescent="0.2">
      <c r="A18" s="8">
        <v>17</v>
      </c>
      <c r="B18" s="82">
        <v>4</v>
      </c>
      <c r="C18" s="83" t="s">
        <v>46</v>
      </c>
      <c r="D18" s="84">
        <v>2600</v>
      </c>
      <c r="E18" s="191">
        <v>1690</v>
      </c>
      <c r="F18" s="191">
        <v>780</v>
      </c>
      <c r="G18" s="83">
        <v>650</v>
      </c>
      <c r="H18" s="83" t="s">
        <v>96</v>
      </c>
      <c r="I18" s="193" t="s">
        <v>291</v>
      </c>
    </row>
    <row r="19" spans="1:11" x14ac:dyDescent="0.2">
      <c r="A19" s="8">
        <v>18</v>
      </c>
      <c r="B19" s="82">
        <v>5</v>
      </c>
      <c r="C19" s="83" t="s">
        <v>47</v>
      </c>
      <c r="D19" s="84">
        <v>5200</v>
      </c>
      <c r="E19" s="191">
        <v>3380</v>
      </c>
      <c r="F19" s="191">
        <v>1560</v>
      </c>
      <c r="G19" s="83">
        <v>1300</v>
      </c>
      <c r="H19" s="83" t="s">
        <v>97</v>
      </c>
      <c r="I19" s="193" t="s">
        <v>291</v>
      </c>
    </row>
    <row r="20" spans="1:11" x14ac:dyDescent="0.2">
      <c r="A20" s="8">
        <v>19</v>
      </c>
      <c r="B20" s="82">
        <v>6</v>
      </c>
      <c r="C20" s="83" t="s">
        <v>48</v>
      </c>
      <c r="D20" s="84">
        <v>7200</v>
      </c>
      <c r="E20" s="191">
        <v>4680</v>
      </c>
      <c r="F20" s="191">
        <v>2160</v>
      </c>
      <c r="G20" s="83">
        <v>1800</v>
      </c>
      <c r="H20" s="83" t="s">
        <v>98</v>
      </c>
      <c r="I20" s="193" t="s">
        <v>291</v>
      </c>
    </row>
    <row r="21" spans="1:11" x14ac:dyDescent="0.2">
      <c r="A21" s="8">
        <v>20</v>
      </c>
      <c r="B21" s="82">
        <v>7</v>
      </c>
      <c r="C21" s="83" t="s">
        <v>49</v>
      </c>
      <c r="D21" s="84">
        <v>10600</v>
      </c>
      <c r="E21" s="191">
        <v>6890</v>
      </c>
      <c r="F21" s="191">
        <v>3180</v>
      </c>
      <c r="G21" s="83">
        <v>2650</v>
      </c>
      <c r="H21" s="83" t="s">
        <v>99</v>
      </c>
      <c r="I21" s="193" t="s">
        <v>291</v>
      </c>
    </row>
    <row r="22" spans="1:11" x14ac:dyDescent="0.2">
      <c r="A22" s="8">
        <v>21</v>
      </c>
      <c r="B22" s="82">
        <v>8</v>
      </c>
      <c r="C22" s="83" t="s">
        <v>50</v>
      </c>
      <c r="D22" s="84">
        <v>13300</v>
      </c>
      <c r="E22" s="191">
        <v>8645</v>
      </c>
      <c r="F22" s="191">
        <v>3990</v>
      </c>
      <c r="G22" s="83">
        <v>3325</v>
      </c>
      <c r="H22" s="83" t="s">
        <v>100</v>
      </c>
      <c r="I22" s="193" t="s">
        <v>291</v>
      </c>
    </row>
    <row r="23" spans="1:11" x14ac:dyDescent="0.2">
      <c r="A23" s="8">
        <v>22</v>
      </c>
      <c r="B23" s="82">
        <v>9</v>
      </c>
      <c r="C23" s="83" t="s">
        <v>51</v>
      </c>
      <c r="D23" s="84">
        <v>21000</v>
      </c>
      <c r="E23" s="191">
        <v>13600</v>
      </c>
      <c r="F23" s="191">
        <v>6300</v>
      </c>
      <c r="G23" s="83">
        <v>5250</v>
      </c>
      <c r="H23" s="83" t="s">
        <v>101</v>
      </c>
      <c r="I23" s="193" t="s">
        <v>291</v>
      </c>
    </row>
    <row r="24" spans="1:11" x14ac:dyDescent="0.2">
      <c r="A24" s="8">
        <v>23</v>
      </c>
      <c r="B24" s="82">
        <v>10</v>
      </c>
      <c r="C24" s="83" t="s">
        <v>52</v>
      </c>
      <c r="D24" s="84">
        <v>24000</v>
      </c>
      <c r="E24" s="191">
        <v>15600</v>
      </c>
      <c r="F24" s="191">
        <v>7200</v>
      </c>
      <c r="G24" s="83">
        <v>6000</v>
      </c>
      <c r="H24" s="83" t="s">
        <v>102</v>
      </c>
      <c r="I24" s="193" t="s">
        <v>291</v>
      </c>
    </row>
    <row r="25" spans="1:11" x14ac:dyDescent="0.2">
      <c r="A25" s="8">
        <v>24</v>
      </c>
      <c r="B25" s="82">
        <v>11</v>
      </c>
      <c r="C25" s="83" t="s">
        <v>53</v>
      </c>
      <c r="D25" s="84">
        <v>200</v>
      </c>
      <c r="E25" s="194">
        <f>D25*0.6465</f>
        <v>129.29999999999998</v>
      </c>
      <c r="F25" s="83">
        <f>D25*0.3</f>
        <v>60</v>
      </c>
      <c r="G25" s="194">
        <f>D25*0.2455</f>
        <v>49.1</v>
      </c>
      <c r="H25" s="83" t="s">
        <v>103</v>
      </c>
      <c r="I25" s="195" t="s">
        <v>424</v>
      </c>
      <c r="K25" s="8">
        <v>1</v>
      </c>
    </row>
    <row r="26" spans="1:11" x14ac:dyDescent="0.2">
      <c r="A26" s="8">
        <v>25</v>
      </c>
      <c r="B26" s="82">
        <v>12</v>
      </c>
      <c r="C26" s="83" t="s">
        <v>54</v>
      </c>
      <c r="D26" s="84">
        <v>400</v>
      </c>
      <c r="E26" s="194">
        <f t="shared" ref="E26:E33" si="2">D26*0.6465</f>
        <v>258.59999999999997</v>
      </c>
      <c r="F26" s="83">
        <f t="shared" ref="F26:F33" si="3">D26*0.3</f>
        <v>120</v>
      </c>
      <c r="G26" s="194">
        <f t="shared" ref="G26:G33" si="4">D26*0.2455</f>
        <v>98.2</v>
      </c>
      <c r="H26" s="83" t="s">
        <v>104</v>
      </c>
      <c r="I26" s="195" t="s">
        <v>424</v>
      </c>
      <c r="K26" s="8">
        <v>1</v>
      </c>
    </row>
    <row r="27" spans="1:11" x14ac:dyDescent="0.2">
      <c r="A27" s="8">
        <v>26</v>
      </c>
      <c r="B27" s="82">
        <v>13</v>
      </c>
      <c r="C27" s="83" t="s">
        <v>55</v>
      </c>
      <c r="D27" s="84">
        <v>640</v>
      </c>
      <c r="E27" s="194">
        <f t="shared" si="2"/>
        <v>413.76</v>
      </c>
      <c r="F27" s="83">
        <f t="shared" si="3"/>
        <v>192</v>
      </c>
      <c r="G27" s="194">
        <f t="shared" si="4"/>
        <v>157.12</v>
      </c>
      <c r="H27" s="83" t="s">
        <v>105</v>
      </c>
      <c r="I27" s="195" t="s">
        <v>424</v>
      </c>
      <c r="K27" s="8">
        <v>1</v>
      </c>
    </row>
    <row r="28" spans="1:11" x14ac:dyDescent="0.2">
      <c r="A28" s="8">
        <v>27</v>
      </c>
      <c r="B28" s="82">
        <v>14</v>
      </c>
      <c r="C28" s="83" t="s">
        <v>56</v>
      </c>
      <c r="D28" s="84">
        <v>1000</v>
      </c>
      <c r="E28" s="194">
        <f t="shared" si="2"/>
        <v>646.5</v>
      </c>
      <c r="F28" s="83">
        <f t="shared" si="3"/>
        <v>300</v>
      </c>
      <c r="G28" s="194">
        <f t="shared" si="4"/>
        <v>245.5</v>
      </c>
      <c r="H28" s="83" t="s">
        <v>106</v>
      </c>
      <c r="I28" s="195" t="s">
        <v>424</v>
      </c>
      <c r="K28" s="8">
        <v>1</v>
      </c>
    </row>
    <row r="29" spans="1:11" x14ac:dyDescent="0.2">
      <c r="A29" s="8">
        <v>28</v>
      </c>
      <c r="B29" s="82">
        <v>15</v>
      </c>
      <c r="C29" s="83" t="s">
        <v>57</v>
      </c>
      <c r="D29" s="84">
        <v>1800</v>
      </c>
      <c r="E29" s="194">
        <f t="shared" si="2"/>
        <v>1163.7</v>
      </c>
      <c r="F29" s="83">
        <f t="shared" si="3"/>
        <v>540</v>
      </c>
      <c r="G29" s="194">
        <f t="shared" si="4"/>
        <v>441.9</v>
      </c>
      <c r="H29" s="83" t="s">
        <v>107</v>
      </c>
      <c r="I29" s="195" t="s">
        <v>424</v>
      </c>
      <c r="K29" s="8">
        <v>1</v>
      </c>
    </row>
    <row r="30" spans="1:11" x14ac:dyDescent="0.2">
      <c r="A30" s="8">
        <v>29</v>
      </c>
      <c r="B30" s="82">
        <v>16</v>
      </c>
      <c r="C30" s="83" t="s">
        <v>58</v>
      </c>
      <c r="D30" s="84">
        <v>2500</v>
      </c>
      <c r="E30" s="194">
        <f t="shared" si="2"/>
        <v>1616.25</v>
      </c>
      <c r="F30" s="83">
        <f t="shared" si="3"/>
        <v>750</v>
      </c>
      <c r="G30" s="194">
        <f t="shared" si="4"/>
        <v>613.75</v>
      </c>
      <c r="H30" s="83" t="s">
        <v>108</v>
      </c>
      <c r="I30" s="195" t="s">
        <v>424</v>
      </c>
      <c r="K30" s="8">
        <v>1</v>
      </c>
    </row>
    <row r="31" spans="1:11" x14ac:dyDescent="0.2">
      <c r="A31" s="8">
        <v>30</v>
      </c>
      <c r="B31" s="82">
        <v>17</v>
      </c>
      <c r="C31" s="83" t="s">
        <v>59</v>
      </c>
      <c r="D31" s="84">
        <v>4000</v>
      </c>
      <c r="E31" s="194">
        <f t="shared" si="2"/>
        <v>2586</v>
      </c>
      <c r="F31" s="83">
        <f t="shared" si="3"/>
        <v>1200</v>
      </c>
      <c r="G31" s="194">
        <f t="shared" si="4"/>
        <v>982</v>
      </c>
      <c r="H31" s="83" t="s">
        <v>109</v>
      </c>
      <c r="I31" s="195" t="s">
        <v>424</v>
      </c>
      <c r="K31" s="8">
        <v>1</v>
      </c>
    </row>
    <row r="32" spans="1:11" x14ac:dyDescent="0.2">
      <c r="A32" s="8">
        <v>31</v>
      </c>
      <c r="B32" s="82">
        <v>18</v>
      </c>
      <c r="C32" s="83" t="s">
        <v>60</v>
      </c>
      <c r="D32" s="84">
        <v>6000</v>
      </c>
      <c r="E32" s="194">
        <f t="shared" si="2"/>
        <v>3879</v>
      </c>
      <c r="F32" s="83">
        <f t="shared" si="3"/>
        <v>1800</v>
      </c>
      <c r="G32" s="194">
        <f t="shared" si="4"/>
        <v>1473</v>
      </c>
      <c r="H32" s="83" t="s">
        <v>110</v>
      </c>
      <c r="I32" s="195" t="s">
        <v>424</v>
      </c>
      <c r="K32" s="8">
        <v>1</v>
      </c>
    </row>
    <row r="33" spans="1:13" x14ac:dyDescent="0.2">
      <c r="A33" s="8">
        <v>32</v>
      </c>
      <c r="B33" s="82">
        <v>19</v>
      </c>
      <c r="C33" s="83" t="s">
        <v>61</v>
      </c>
      <c r="D33" s="84">
        <v>8500</v>
      </c>
      <c r="E33" s="194">
        <f t="shared" si="2"/>
        <v>5495.25</v>
      </c>
      <c r="F33" s="83">
        <f t="shared" si="3"/>
        <v>2550</v>
      </c>
      <c r="G33" s="194">
        <f t="shared" si="4"/>
        <v>2086.75</v>
      </c>
      <c r="H33" s="83" t="s">
        <v>111</v>
      </c>
      <c r="I33" s="195" t="s">
        <v>424</v>
      </c>
      <c r="K33" s="8">
        <v>1</v>
      </c>
      <c r="L33" t="s">
        <v>454</v>
      </c>
    </row>
    <row r="34" spans="1:13" x14ac:dyDescent="0.2">
      <c r="A34" s="8">
        <v>33</v>
      </c>
      <c r="B34" s="85">
        <v>1</v>
      </c>
      <c r="C34" s="85" t="s">
        <v>13</v>
      </c>
      <c r="D34" s="85">
        <v>800</v>
      </c>
      <c r="E34" s="85">
        <f>D34</f>
        <v>800</v>
      </c>
      <c r="F34" s="85">
        <f>D34</f>
        <v>800</v>
      </c>
      <c r="G34" s="85">
        <f>E34</f>
        <v>800</v>
      </c>
      <c r="H34" s="85" t="s">
        <v>112</v>
      </c>
      <c r="I34" s="193" t="s">
        <v>425</v>
      </c>
      <c r="J34" s="85" t="s">
        <v>429</v>
      </c>
      <c r="L34">
        <v>7</v>
      </c>
    </row>
    <row r="35" spans="1:13" x14ac:dyDescent="0.2">
      <c r="A35" s="8">
        <v>34</v>
      </c>
      <c r="B35" s="85">
        <v>2</v>
      </c>
      <c r="C35" s="85" t="s">
        <v>14</v>
      </c>
      <c r="D35" s="85">
        <v>1000</v>
      </c>
      <c r="E35" s="85">
        <f t="shared" ref="E35:E46" si="5">D35</f>
        <v>1000</v>
      </c>
      <c r="F35" s="85">
        <f t="shared" ref="F35:F46" si="6">D35</f>
        <v>1000</v>
      </c>
      <c r="G35" s="85">
        <f t="shared" ref="G35:G46" si="7">E35</f>
        <v>1000</v>
      </c>
      <c r="H35" s="85" t="s">
        <v>113</v>
      </c>
      <c r="I35" s="193" t="s">
        <v>425</v>
      </c>
      <c r="J35" s="85" t="s">
        <v>430</v>
      </c>
      <c r="L35">
        <v>12</v>
      </c>
    </row>
    <row r="36" spans="1:13" x14ac:dyDescent="0.2">
      <c r="A36" s="8">
        <v>35</v>
      </c>
      <c r="B36" s="85">
        <v>3</v>
      </c>
      <c r="C36" s="85" t="s">
        <v>15</v>
      </c>
      <c r="D36" s="85">
        <v>2500</v>
      </c>
      <c r="E36" s="85">
        <f t="shared" si="5"/>
        <v>2500</v>
      </c>
      <c r="F36" s="85">
        <f t="shared" si="6"/>
        <v>2500</v>
      </c>
      <c r="G36" s="85">
        <f t="shared" si="7"/>
        <v>2500</v>
      </c>
      <c r="H36" s="85" t="s">
        <v>114</v>
      </c>
      <c r="I36" s="193" t="s">
        <v>425</v>
      </c>
      <c r="J36" s="85" t="s">
        <v>431</v>
      </c>
      <c r="L36">
        <v>28</v>
      </c>
    </row>
    <row r="37" spans="1:13" x14ac:dyDescent="0.2">
      <c r="A37" s="8">
        <v>36</v>
      </c>
      <c r="B37" s="85">
        <v>4</v>
      </c>
      <c r="C37" s="85" t="s">
        <v>16</v>
      </c>
      <c r="D37" s="85">
        <v>4000</v>
      </c>
      <c r="E37" s="85">
        <f t="shared" si="5"/>
        <v>4000</v>
      </c>
      <c r="F37" s="85">
        <f t="shared" si="6"/>
        <v>4000</v>
      </c>
      <c r="G37" s="85">
        <f t="shared" si="7"/>
        <v>4000</v>
      </c>
      <c r="H37" s="85" t="s">
        <v>115</v>
      </c>
      <c r="I37" s="193" t="s">
        <v>425</v>
      </c>
      <c r="J37" s="85" t="s">
        <v>432</v>
      </c>
      <c r="L37">
        <v>60</v>
      </c>
    </row>
    <row r="38" spans="1:13" x14ac:dyDescent="0.2">
      <c r="A38" s="8">
        <v>37</v>
      </c>
      <c r="B38" s="85">
        <v>5</v>
      </c>
      <c r="C38" s="85" t="s">
        <v>17</v>
      </c>
      <c r="D38" s="85">
        <v>5000</v>
      </c>
      <c r="E38" s="85">
        <f t="shared" si="5"/>
        <v>5000</v>
      </c>
      <c r="F38" s="85">
        <f t="shared" si="6"/>
        <v>5000</v>
      </c>
      <c r="G38" s="85">
        <f t="shared" si="7"/>
        <v>5000</v>
      </c>
      <c r="H38" s="85" t="s">
        <v>116</v>
      </c>
      <c r="I38" s="193" t="s">
        <v>425</v>
      </c>
      <c r="J38" s="85" t="s">
        <v>433</v>
      </c>
      <c r="L38">
        <v>100</v>
      </c>
    </row>
    <row r="39" spans="1:13" x14ac:dyDescent="0.2">
      <c r="A39" s="8">
        <v>38</v>
      </c>
      <c r="B39" s="85">
        <v>6</v>
      </c>
      <c r="C39" s="85" t="s">
        <v>18</v>
      </c>
      <c r="D39" s="85">
        <v>8000</v>
      </c>
      <c r="E39" s="85">
        <f t="shared" si="5"/>
        <v>8000</v>
      </c>
      <c r="F39" s="85">
        <f t="shared" si="6"/>
        <v>8000</v>
      </c>
      <c r="G39" s="85">
        <f t="shared" si="7"/>
        <v>8000</v>
      </c>
      <c r="H39" s="85" t="s">
        <v>117</v>
      </c>
      <c r="I39" s="193" t="s">
        <v>425</v>
      </c>
      <c r="J39" s="85" t="s">
        <v>434</v>
      </c>
      <c r="L39">
        <v>160</v>
      </c>
    </row>
    <row r="40" spans="1:13" x14ac:dyDescent="0.2">
      <c r="A40" s="8">
        <v>39</v>
      </c>
      <c r="B40" s="85">
        <v>7</v>
      </c>
      <c r="C40" s="85" t="s">
        <v>19</v>
      </c>
      <c r="D40" s="85">
        <v>10000</v>
      </c>
      <c r="E40" s="85">
        <f t="shared" si="5"/>
        <v>10000</v>
      </c>
      <c r="F40" s="85">
        <f t="shared" si="6"/>
        <v>10000</v>
      </c>
      <c r="G40" s="85">
        <f t="shared" si="7"/>
        <v>10000</v>
      </c>
      <c r="H40" s="85" t="s">
        <v>118</v>
      </c>
      <c r="I40" s="193" t="s">
        <v>425</v>
      </c>
      <c r="J40" s="85" t="s">
        <v>435</v>
      </c>
      <c r="L40">
        <v>230</v>
      </c>
    </row>
    <row r="41" spans="1:13" x14ac:dyDescent="0.2">
      <c r="A41" s="8">
        <v>40</v>
      </c>
      <c r="B41" s="85">
        <v>8</v>
      </c>
      <c r="C41" s="85" t="s">
        <v>20</v>
      </c>
      <c r="D41" s="85">
        <v>15000</v>
      </c>
      <c r="E41" s="85">
        <f t="shared" si="5"/>
        <v>15000</v>
      </c>
      <c r="F41" s="85">
        <f t="shared" si="6"/>
        <v>15000</v>
      </c>
      <c r="G41" s="85">
        <f t="shared" si="7"/>
        <v>15000</v>
      </c>
      <c r="H41" s="85" t="s">
        <v>119</v>
      </c>
      <c r="I41" s="193" t="s">
        <v>425</v>
      </c>
      <c r="J41" s="85" t="s">
        <v>436</v>
      </c>
      <c r="L41">
        <v>470</v>
      </c>
    </row>
    <row r="42" spans="1:13" x14ac:dyDescent="0.2">
      <c r="A42" s="8">
        <v>41</v>
      </c>
      <c r="B42" s="85">
        <v>9</v>
      </c>
      <c r="C42" s="85" t="s">
        <v>21</v>
      </c>
      <c r="D42" s="85">
        <v>24000</v>
      </c>
      <c r="E42" s="85">
        <f t="shared" si="5"/>
        <v>24000</v>
      </c>
      <c r="F42" s="85">
        <f t="shared" si="6"/>
        <v>24000</v>
      </c>
      <c r="G42" s="85">
        <f t="shared" si="7"/>
        <v>24000</v>
      </c>
      <c r="H42" s="85" t="s">
        <v>120</v>
      </c>
      <c r="I42" s="193" t="s">
        <v>425</v>
      </c>
      <c r="J42" s="85" t="s">
        <v>437</v>
      </c>
      <c r="L42">
        <v>800</v>
      </c>
    </row>
    <row r="43" spans="1:13" x14ac:dyDescent="0.2">
      <c r="A43" s="8">
        <v>42</v>
      </c>
      <c r="B43" s="85">
        <v>10</v>
      </c>
      <c r="C43" s="85" t="s">
        <v>22</v>
      </c>
      <c r="D43" s="85">
        <v>30000</v>
      </c>
      <c r="E43" s="85">
        <f t="shared" si="5"/>
        <v>30000</v>
      </c>
      <c r="F43" s="85">
        <f t="shared" si="6"/>
        <v>30000</v>
      </c>
      <c r="G43" s="85">
        <f t="shared" si="7"/>
        <v>30000</v>
      </c>
      <c r="H43" s="85" t="s">
        <v>121</v>
      </c>
      <c r="I43" s="193" t="s">
        <v>425</v>
      </c>
      <c r="J43" s="85" t="s">
        <v>438</v>
      </c>
      <c r="L43">
        <v>1100</v>
      </c>
    </row>
    <row r="44" spans="1:13" x14ac:dyDescent="0.2">
      <c r="A44" s="8">
        <v>43</v>
      </c>
      <c r="B44" s="85">
        <v>11</v>
      </c>
      <c r="C44" s="85" t="s">
        <v>23</v>
      </c>
      <c r="D44" s="85">
        <v>50000</v>
      </c>
      <c r="E44" s="85">
        <f t="shared" si="5"/>
        <v>50000</v>
      </c>
      <c r="F44" s="85">
        <f t="shared" si="6"/>
        <v>50000</v>
      </c>
      <c r="G44" s="85">
        <f t="shared" si="7"/>
        <v>50000</v>
      </c>
      <c r="H44" s="85" t="s">
        <v>122</v>
      </c>
      <c r="I44" s="193" t="s">
        <v>425</v>
      </c>
      <c r="J44" s="85" t="s">
        <v>439</v>
      </c>
      <c r="L44">
        <v>2100</v>
      </c>
    </row>
    <row r="45" spans="1:13" x14ac:dyDescent="0.2">
      <c r="A45" s="8">
        <v>44</v>
      </c>
      <c r="B45" s="85">
        <v>12</v>
      </c>
      <c r="C45" s="85" t="s">
        <v>24</v>
      </c>
      <c r="D45" s="85">
        <v>75000</v>
      </c>
      <c r="E45" s="85">
        <f t="shared" si="5"/>
        <v>75000</v>
      </c>
      <c r="F45" s="85">
        <f t="shared" si="6"/>
        <v>75000</v>
      </c>
      <c r="G45" s="85">
        <f t="shared" si="7"/>
        <v>75000</v>
      </c>
      <c r="H45" s="85" t="s">
        <v>123</v>
      </c>
      <c r="I45" s="193" t="s">
        <v>425</v>
      </c>
      <c r="J45" s="85" t="s">
        <v>440</v>
      </c>
      <c r="L45">
        <v>4300</v>
      </c>
    </row>
    <row r="46" spans="1:13" x14ac:dyDescent="0.2">
      <c r="A46" s="8">
        <v>45</v>
      </c>
      <c r="B46" s="85">
        <v>13</v>
      </c>
      <c r="C46" s="85" t="s">
        <v>25</v>
      </c>
      <c r="D46" s="85">
        <v>100000</v>
      </c>
      <c r="E46" s="85">
        <f t="shared" si="5"/>
        <v>100000</v>
      </c>
      <c r="F46" s="85">
        <f t="shared" si="6"/>
        <v>100000</v>
      </c>
      <c r="G46" s="85">
        <f t="shared" si="7"/>
        <v>100000</v>
      </c>
      <c r="H46" s="85" t="s">
        <v>124</v>
      </c>
      <c r="I46" s="193" t="s">
        <v>425</v>
      </c>
      <c r="J46" s="85" t="s">
        <v>441</v>
      </c>
      <c r="L46">
        <v>6600</v>
      </c>
    </row>
    <row r="47" spans="1:13" x14ac:dyDescent="0.2">
      <c r="A47" s="8">
        <v>46</v>
      </c>
      <c r="B47" s="85">
        <v>14</v>
      </c>
      <c r="C47" s="85" t="s">
        <v>26</v>
      </c>
      <c r="D47" s="85">
        <v>400</v>
      </c>
      <c r="E47" s="85">
        <f t="shared" ref="E47:E56" si="8">D47</f>
        <v>400</v>
      </c>
      <c r="F47" s="85">
        <f>D47</f>
        <v>400</v>
      </c>
      <c r="G47" s="85">
        <f>E47</f>
        <v>400</v>
      </c>
      <c r="H47" s="85" t="s">
        <v>125</v>
      </c>
      <c r="I47" s="193" t="s">
        <v>425</v>
      </c>
      <c r="J47" s="85" t="s">
        <v>442</v>
      </c>
      <c r="K47" s="8">
        <v>1</v>
      </c>
      <c r="L47">
        <v>10</v>
      </c>
      <c r="M47" t="s">
        <v>455</v>
      </c>
    </row>
    <row r="48" spans="1:13" x14ac:dyDescent="0.2">
      <c r="A48" s="8">
        <v>47</v>
      </c>
      <c r="B48" s="85">
        <v>15</v>
      </c>
      <c r="C48" s="85" t="s">
        <v>27</v>
      </c>
      <c r="D48" s="85">
        <v>450</v>
      </c>
      <c r="E48" s="85">
        <f t="shared" si="8"/>
        <v>450</v>
      </c>
      <c r="F48" s="85">
        <f t="shared" ref="F48:F56" si="9">D48</f>
        <v>450</v>
      </c>
      <c r="G48" s="85">
        <f t="shared" ref="G48:G56" si="10">E48</f>
        <v>450</v>
      </c>
      <c r="H48" s="85" t="s">
        <v>126</v>
      </c>
      <c r="I48" s="193" t="s">
        <v>425</v>
      </c>
      <c r="J48" s="85" t="s">
        <v>443</v>
      </c>
      <c r="K48" s="8">
        <v>1</v>
      </c>
      <c r="L48">
        <v>16</v>
      </c>
      <c r="M48" t="s">
        <v>455</v>
      </c>
    </row>
    <row r="49" spans="1:13" x14ac:dyDescent="0.2">
      <c r="A49" s="8">
        <v>48</v>
      </c>
      <c r="B49" s="85">
        <v>16</v>
      </c>
      <c r="C49" s="85" t="s">
        <v>28</v>
      </c>
      <c r="D49" s="85">
        <v>1050</v>
      </c>
      <c r="E49" s="85">
        <f t="shared" si="8"/>
        <v>1050</v>
      </c>
      <c r="F49" s="85">
        <f t="shared" si="9"/>
        <v>1050</v>
      </c>
      <c r="G49" s="85">
        <f t="shared" si="10"/>
        <v>1050</v>
      </c>
      <c r="H49" s="85" t="s">
        <v>127</v>
      </c>
      <c r="I49" s="193" t="s">
        <v>425</v>
      </c>
      <c r="J49" s="85" t="s">
        <v>444</v>
      </c>
      <c r="K49" s="8">
        <v>1</v>
      </c>
      <c r="L49">
        <v>38</v>
      </c>
      <c r="M49" t="s">
        <v>455</v>
      </c>
    </row>
    <row r="50" spans="1:13" x14ac:dyDescent="0.2">
      <c r="A50" s="8">
        <v>49</v>
      </c>
      <c r="B50" s="85">
        <v>17</v>
      </c>
      <c r="C50" s="85" t="s">
        <v>29</v>
      </c>
      <c r="D50" s="85">
        <v>1900</v>
      </c>
      <c r="E50" s="85">
        <f t="shared" si="8"/>
        <v>1900</v>
      </c>
      <c r="F50" s="85">
        <f t="shared" si="9"/>
        <v>1900</v>
      </c>
      <c r="G50" s="85">
        <f t="shared" si="10"/>
        <v>1900</v>
      </c>
      <c r="H50" s="85" t="s">
        <v>128</v>
      </c>
      <c r="I50" s="193" t="s">
        <v>425</v>
      </c>
      <c r="J50" s="85" t="s">
        <v>445</v>
      </c>
      <c r="K50" s="8">
        <v>1</v>
      </c>
      <c r="L50">
        <v>81</v>
      </c>
      <c r="M50" t="s">
        <v>455</v>
      </c>
    </row>
    <row r="51" spans="1:13" x14ac:dyDescent="0.2">
      <c r="A51" s="8">
        <v>50</v>
      </c>
      <c r="B51" s="85">
        <v>18</v>
      </c>
      <c r="C51" s="85" t="s">
        <v>30</v>
      </c>
      <c r="D51" s="85">
        <v>2150</v>
      </c>
      <c r="E51" s="85">
        <f t="shared" si="8"/>
        <v>2150</v>
      </c>
      <c r="F51" s="85">
        <f t="shared" si="9"/>
        <v>2150</v>
      </c>
      <c r="G51" s="85">
        <f t="shared" si="10"/>
        <v>2150</v>
      </c>
      <c r="H51" s="85" t="s">
        <v>129</v>
      </c>
      <c r="I51" s="193" t="s">
        <v>425</v>
      </c>
      <c r="J51" s="85" t="s">
        <v>446</v>
      </c>
      <c r="K51" s="8">
        <v>1</v>
      </c>
      <c r="L51">
        <v>136</v>
      </c>
      <c r="M51" t="s">
        <v>455</v>
      </c>
    </row>
    <row r="52" spans="1:13" x14ac:dyDescent="0.2">
      <c r="A52" s="8">
        <v>51</v>
      </c>
      <c r="B52" s="85">
        <v>19</v>
      </c>
      <c r="C52" s="85" t="s">
        <v>31</v>
      </c>
      <c r="D52" s="85">
        <v>4200</v>
      </c>
      <c r="E52" s="85">
        <f t="shared" si="8"/>
        <v>4200</v>
      </c>
      <c r="F52" s="85">
        <f t="shared" si="9"/>
        <v>4200</v>
      </c>
      <c r="G52" s="85">
        <f t="shared" si="10"/>
        <v>4200</v>
      </c>
      <c r="H52" s="85" t="s">
        <v>130</v>
      </c>
      <c r="I52" s="193" t="s">
        <v>425</v>
      </c>
      <c r="J52" s="85" t="s">
        <v>447</v>
      </c>
      <c r="K52" s="8">
        <v>1</v>
      </c>
      <c r="L52">
        <v>312</v>
      </c>
      <c r="M52" t="s">
        <v>455</v>
      </c>
    </row>
    <row r="53" spans="1:13" x14ac:dyDescent="0.2">
      <c r="A53" s="8">
        <v>52</v>
      </c>
      <c r="B53" s="85">
        <v>20</v>
      </c>
      <c r="C53" s="85" t="s">
        <v>32</v>
      </c>
      <c r="D53" s="85">
        <v>7000</v>
      </c>
      <c r="E53" s="85">
        <f t="shared" si="8"/>
        <v>7000</v>
      </c>
      <c r="F53" s="85">
        <f t="shared" si="9"/>
        <v>7000</v>
      </c>
      <c r="G53" s="85">
        <f t="shared" si="10"/>
        <v>7000</v>
      </c>
      <c r="H53" s="85" t="s">
        <v>131</v>
      </c>
      <c r="I53" s="193" t="s">
        <v>425</v>
      </c>
      <c r="J53" s="85" t="s">
        <v>448</v>
      </c>
      <c r="K53" s="8">
        <v>1</v>
      </c>
      <c r="L53">
        <v>637</v>
      </c>
      <c r="M53" t="s">
        <v>455</v>
      </c>
    </row>
    <row r="54" spans="1:13" x14ac:dyDescent="0.2">
      <c r="A54" s="8">
        <v>53</v>
      </c>
      <c r="B54" s="85">
        <v>21</v>
      </c>
      <c r="C54" s="85" t="s">
        <v>33</v>
      </c>
      <c r="D54" s="85">
        <v>1100</v>
      </c>
      <c r="E54" s="85">
        <f t="shared" si="8"/>
        <v>1100</v>
      </c>
      <c r="F54" s="85">
        <f t="shared" si="9"/>
        <v>1100</v>
      </c>
      <c r="G54" s="85">
        <f t="shared" si="10"/>
        <v>1100</v>
      </c>
      <c r="H54" s="85" t="s">
        <v>132</v>
      </c>
      <c r="I54" s="193" t="s">
        <v>425</v>
      </c>
      <c r="J54" s="85" t="s">
        <v>449</v>
      </c>
      <c r="K54" s="8">
        <v>1</v>
      </c>
      <c r="L54">
        <v>1005</v>
      </c>
      <c r="M54" t="s">
        <v>455</v>
      </c>
    </row>
    <row r="55" spans="1:13" x14ac:dyDescent="0.2">
      <c r="A55" s="8">
        <v>54</v>
      </c>
      <c r="B55" s="85">
        <v>22</v>
      </c>
      <c r="C55" s="85" t="s">
        <v>34</v>
      </c>
      <c r="D55" s="85">
        <v>12500</v>
      </c>
      <c r="E55" s="85">
        <f t="shared" si="8"/>
        <v>12500</v>
      </c>
      <c r="F55" s="85">
        <f t="shared" si="9"/>
        <v>12500</v>
      </c>
      <c r="G55" s="85">
        <f t="shared" si="10"/>
        <v>12500</v>
      </c>
      <c r="H55" s="85" t="s">
        <v>133</v>
      </c>
      <c r="I55" s="193" t="s">
        <v>425</v>
      </c>
      <c r="J55" s="85" t="s">
        <v>450</v>
      </c>
      <c r="K55" s="8">
        <v>1</v>
      </c>
      <c r="L55">
        <v>1005</v>
      </c>
      <c r="M55" t="s">
        <v>455</v>
      </c>
    </row>
    <row r="56" spans="1:13" x14ac:dyDescent="0.2">
      <c r="A56" s="8">
        <v>55</v>
      </c>
      <c r="B56" s="85">
        <v>23</v>
      </c>
      <c r="C56" s="85" t="s">
        <v>35</v>
      </c>
      <c r="D56" s="85">
        <v>13500</v>
      </c>
      <c r="E56" s="85">
        <f t="shared" si="8"/>
        <v>13500</v>
      </c>
      <c r="F56" s="85">
        <f t="shared" si="9"/>
        <v>13500</v>
      </c>
      <c r="G56" s="85">
        <f t="shared" si="10"/>
        <v>13500</v>
      </c>
      <c r="H56" s="85" t="s">
        <v>134</v>
      </c>
      <c r="I56" s="193" t="s">
        <v>425</v>
      </c>
      <c r="J56" s="85" t="s">
        <v>451</v>
      </c>
      <c r="K56" s="8">
        <v>1</v>
      </c>
      <c r="L56">
        <v>1350</v>
      </c>
      <c r="M56" t="s">
        <v>455</v>
      </c>
    </row>
    <row r="57" spans="1:13" x14ac:dyDescent="0.2">
      <c r="A57" s="8">
        <v>56</v>
      </c>
      <c r="B57" s="71">
        <v>1</v>
      </c>
      <c r="C57" s="71" t="s">
        <v>38</v>
      </c>
      <c r="D57" s="71">
        <v>1700</v>
      </c>
      <c r="E57" s="71">
        <v>1000</v>
      </c>
      <c r="F57" s="71">
        <v>850</v>
      </c>
      <c r="G57" s="71"/>
      <c r="H57" s="71" t="s">
        <v>135</v>
      </c>
      <c r="I57" t="s">
        <v>423</v>
      </c>
      <c r="J57" s="71" t="s">
        <v>456</v>
      </c>
    </row>
    <row r="58" spans="1:13" x14ac:dyDescent="0.2">
      <c r="A58" s="8">
        <v>57</v>
      </c>
      <c r="B58" s="71">
        <v>2</v>
      </c>
      <c r="C58" s="71" t="s">
        <v>39</v>
      </c>
      <c r="D58" s="71">
        <v>2700</v>
      </c>
      <c r="E58" s="71">
        <v>1600</v>
      </c>
      <c r="F58" s="71">
        <v>1350</v>
      </c>
      <c r="G58" s="71"/>
      <c r="H58" s="71" t="s">
        <v>136</v>
      </c>
      <c r="I58" t="s">
        <v>423</v>
      </c>
      <c r="J58" s="71" t="s">
        <v>457</v>
      </c>
    </row>
    <row r="59" spans="1:13" x14ac:dyDescent="0.2">
      <c r="A59" s="8">
        <v>58</v>
      </c>
      <c r="B59" s="71">
        <v>3</v>
      </c>
      <c r="C59" s="71" t="s">
        <v>40</v>
      </c>
      <c r="D59" s="71">
        <v>5000</v>
      </c>
      <c r="E59" s="71">
        <v>3000</v>
      </c>
      <c r="F59" s="71">
        <v>1500</v>
      </c>
      <c r="G59" s="71"/>
      <c r="H59" s="71" t="s">
        <v>137</v>
      </c>
      <c r="I59" t="s">
        <v>423</v>
      </c>
      <c r="J59" s="71" t="s">
        <v>458</v>
      </c>
    </row>
    <row r="60" spans="1:13" x14ac:dyDescent="0.2">
      <c r="A60" s="8">
        <v>59</v>
      </c>
      <c r="B60" s="71">
        <v>4</v>
      </c>
      <c r="C60" s="71" t="s">
        <v>41</v>
      </c>
      <c r="D60" s="71">
        <v>6000</v>
      </c>
      <c r="E60" s="71">
        <v>3600</v>
      </c>
      <c r="F60" s="71">
        <v>3000</v>
      </c>
      <c r="G60" s="71"/>
      <c r="H60" s="71" t="s">
        <v>138</v>
      </c>
      <c r="I60" t="s">
        <v>423</v>
      </c>
      <c r="J60" s="71" t="s">
        <v>459</v>
      </c>
    </row>
    <row r="61" spans="1:13" x14ac:dyDescent="0.2">
      <c r="A61" s="8">
        <v>60</v>
      </c>
      <c r="B61" s="71">
        <v>5</v>
      </c>
      <c r="C61" s="208" t="s">
        <v>470</v>
      </c>
      <c r="D61" s="208">
        <v>4</v>
      </c>
      <c r="E61" s="208">
        <v>2</v>
      </c>
      <c r="F61" s="208">
        <v>1</v>
      </c>
      <c r="G61" s="208"/>
      <c r="H61" s="208" t="s">
        <v>467</v>
      </c>
      <c r="I61" s="23" t="s">
        <v>466</v>
      </c>
      <c r="J61" s="23" t="s">
        <v>465</v>
      </c>
    </row>
    <row r="62" spans="1:13" x14ac:dyDescent="0.2">
      <c r="A62" s="8">
        <v>61</v>
      </c>
      <c r="B62" s="71">
        <v>6</v>
      </c>
      <c r="C62" s="208" t="s">
        <v>471</v>
      </c>
      <c r="D62" s="208">
        <v>4</v>
      </c>
      <c r="E62" s="208">
        <v>2</v>
      </c>
      <c r="F62" s="208">
        <v>1</v>
      </c>
      <c r="G62" s="208"/>
      <c r="H62" s="208" t="s">
        <v>468</v>
      </c>
      <c r="I62" s="23" t="s">
        <v>466</v>
      </c>
      <c r="J62" s="23" t="s">
        <v>465</v>
      </c>
    </row>
    <row r="63" spans="1:13" x14ac:dyDescent="0.2">
      <c r="A63" s="8">
        <v>62</v>
      </c>
      <c r="B63" s="71">
        <v>7</v>
      </c>
      <c r="C63" s="208" t="s">
        <v>472</v>
      </c>
      <c r="D63" s="208">
        <v>4</v>
      </c>
      <c r="E63" s="208">
        <v>2</v>
      </c>
      <c r="F63" s="208">
        <v>1</v>
      </c>
      <c r="G63" s="208"/>
      <c r="H63" s="208" t="s">
        <v>469</v>
      </c>
      <c r="I63" s="23" t="s">
        <v>466</v>
      </c>
      <c r="J63" s="23" t="s">
        <v>465</v>
      </c>
    </row>
    <row r="64" spans="1:13" x14ac:dyDescent="0.2">
      <c r="C64" s="209" t="s">
        <v>140</v>
      </c>
      <c r="D64" s="210" t="s">
        <v>462</v>
      </c>
      <c r="E64" s="211" t="s">
        <v>463</v>
      </c>
      <c r="F64" s="212" t="s">
        <v>464</v>
      </c>
      <c r="G64" s="207"/>
      <c r="H64" s="206" t="s">
        <v>139</v>
      </c>
      <c r="I64" s="207" t="s">
        <v>290</v>
      </c>
      <c r="J64" s="207" t="s">
        <v>453</v>
      </c>
    </row>
    <row r="65" spans="1:9" x14ac:dyDescent="0.2">
      <c r="A65" s="25"/>
      <c r="B65" s="25"/>
      <c r="C65" s="25"/>
      <c r="D65" s="990" t="s">
        <v>2109</v>
      </c>
      <c r="E65" s="991"/>
      <c r="F65" s="992"/>
      <c r="G65" s="25"/>
      <c r="H65" s="25"/>
      <c r="I65" s="25"/>
    </row>
    <row r="66" spans="1:9" x14ac:dyDescent="0.2">
      <c r="A66" s="25"/>
      <c r="B66" s="25"/>
      <c r="D66" s="25"/>
      <c r="E66" s="25"/>
      <c r="F66" s="25"/>
      <c r="G66" s="25"/>
      <c r="H66" s="25"/>
      <c r="I66" s="25"/>
    </row>
    <row r="67" spans="1:9" x14ac:dyDescent="0.2">
      <c r="A67" s="25"/>
      <c r="B67" s="25"/>
      <c r="C67" s="25"/>
      <c r="D67" s="25"/>
      <c r="E67" s="25"/>
      <c r="F67" s="25"/>
      <c r="G67" s="25"/>
      <c r="H67" s="25"/>
      <c r="I67" s="25"/>
    </row>
    <row r="68" spans="1:9" x14ac:dyDescent="0.2">
      <c r="A68" s="25"/>
      <c r="B68" s="25"/>
      <c r="C68" s="25"/>
      <c r="D68" s="25"/>
      <c r="E68" s="25"/>
      <c r="F68" s="25"/>
      <c r="G68" s="25"/>
      <c r="H68" s="25"/>
      <c r="I68" s="25"/>
    </row>
    <row r="69" spans="1:9" x14ac:dyDescent="0.2">
      <c r="A69" s="25"/>
      <c r="B69" s="25"/>
      <c r="C69" s="25"/>
      <c r="D69" s="25"/>
      <c r="E69" s="25"/>
      <c r="F69" s="25"/>
      <c r="G69" s="25"/>
      <c r="H69" s="25"/>
      <c r="I69" s="25"/>
    </row>
    <row r="70" spans="1:9" x14ac:dyDescent="0.2">
      <c r="A70" s="25"/>
      <c r="B70" s="25"/>
      <c r="C70" s="25"/>
      <c r="D70" s="25"/>
      <c r="E70" s="25"/>
      <c r="F70" s="25"/>
      <c r="G70" s="25"/>
      <c r="H70" s="25"/>
      <c r="I70" s="25"/>
    </row>
    <row r="71" spans="1:9" x14ac:dyDescent="0.2">
      <c r="A71" s="25"/>
      <c r="B71" s="25"/>
      <c r="C71" s="25"/>
      <c r="D71" s="25"/>
      <c r="E71" s="25"/>
      <c r="F71" s="25"/>
      <c r="G71" s="25"/>
      <c r="H71" s="25"/>
      <c r="I71" s="25"/>
    </row>
    <row r="72" spans="1:9" x14ac:dyDescent="0.2">
      <c r="A72" s="25"/>
      <c r="B72" s="25"/>
      <c r="C72" s="25"/>
      <c r="D72" s="25"/>
      <c r="E72" s="25"/>
      <c r="F72" s="25"/>
      <c r="G72" s="25"/>
      <c r="H72" s="25"/>
      <c r="I72" s="25"/>
    </row>
    <row r="73" spans="1:9" x14ac:dyDescent="0.2">
      <c r="A73" s="25"/>
      <c r="B73" s="25"/>
      <c r="C73" s="25"/>
      <c r="D73" s="25"/>
      <c r="E73" s="25"/>
      <c r="F73" s="25"/>
      <c r="G73" s="25"/>
      <c r="H73" s="25"/>
      <c r="I73" s="25"/>
    </row>
    <row r="74" spans="1:9" x14ac:dyDescent="0.2">
      <c r="A74" s="25"/>
      <c r="B74" s="25"/>
      <c r="C74" s="25"/>
      <c r="D74" s="25"/>
      <c r="E74" s="25"/>
      <c r="F74" s="25"/>
      <c r="G74" s="25"/>
      <c r="H74" s="25"/>
      <c r="I74" s="25"/>
    </row>
    <row r="75" spans="1:9" x14ac:dyDescent="0.2">
      <c r="A75" s="25"/>
      <c r="B75" s="25"/>
      <c r="C75" s="25"/>
      <c r="D75" s="25"/>
      <c r="E75" s="25"/>
      <c r="F75" s="25"/>
      <c r="G75" s="25"/>
      <c r="H75" s="25"/>
      <c r="I75" s="25"/>
    </row>
    <row r="76" spans="1:9" x14ac:dyDescent="0.2">
      <c r="A76" s="25"/>
      <c r="B76" s="25"/>
      <c r="C76" s="25"/>
      <c r="D76" s="25"/>
      <c r="E76" s="25"/>
      <c r="F76" s="25"/>
      <c r="G76" s="25"/>
      <c r="H76" s="25"/>
      <c r="I76" s="25"/>
    </row>
    <row r="77" spans="1:9" x14ac:dyDescent="0.2">
      <c r="A77" s="25"/>
      <c r="B77" s="25"/>
      <c r="C77" s="25"/>
      <c r="D77" s="25"/>
      <c r="E77" s="25"/>
      <c r="F77" s="25"/>
      <c r="G77" s="25"/>
      <c r="H77" s="25"/>
      <c r="I77" s="25"/>
    </row>
    <row r="78" spans="1:9" x14ac:dyDescent="0.2">
      <c r="A78" s="25"/>
    </row>
  </sheetData>
  <mergeCells count="1">
    <mergeCell ref="D65:F65"/>
  </mergeCells>
  <phoneticPr fontId="15" type="noConversion"/>
  <hyperlinks>
    <hyperlink ref="B1" location="INDEX!A1" display="INDEX PAGE"/>
  </hyperlinks>
  <pageMargins left="0.75" right="0.75" top="1" bottom="1" header="0.5" footer="0.5"/>
  <pageSetup orientation="portrait" horizontalDpi="0" verticalDpi="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G23"/>
  <sheetViews>
    <sheetView showRowColHeaders="0" workbookViewId="0">
      <selection activeCell="F21" sqref="F21"/>
    </sheetView>
  </sheetViews>
  <sheetFormatPr defaultRowHeight="12.75" x14ac:dyDescent="0.2"/>
  <cols>
    <col min="1" max="1" width="3.7109375" style="25" customWidth="1"/>
    <col min="2" max="6" width="18.7109375" style="25" customWidth="1"/>
    <col min="7" max="16384" width="9.140625" style="25"/>
  </cols>
  <sheetData>
    <row r="1" spans="1:7" x14ac:dyDescent="0.2">
      <c r="A1"/>
    </row>
    <row r="2" spans="1:7" ht="18" x14ac:dyDescent="0.25">
      <c r="B2" s="59"/>
    </row>
    <row r="3" spans="1:7" ht="18.75" x14ac:dyDescent="0.3">
      <c r="B3" s="852" t="s">
        <v>2074</v>
      </c>
      <c r="C3" s="852"/>
      <c r="D3" s="852"/>
      <c r="E3" s="852"/>
      <c r="F3" s="599"/>
    </row>
    <row r="4" spans="1:7" ht="47.25" customHeight="1" x14ac:dyDescent="0.2"/>
    <row r="5" spans="1:7" x14ac:dyDescent="0.2">
      <c r="A5" s="89"/>
      <c r="B5" s="725" t="s">
        <v>2075</v>
      </c>
      <c r="C5" s="725" t="s">
        <v>2078</v>
      </c>
      <c r="D5" s="725" t="s">
        <v>2082</v>
      </c>
      <c r="E5" s="725" t="s">
        <v>2083</v>
      </c>
      <c r="F5" s="725" t="s">
        <v>2101</v>
      </c>
      <c r="G5" s="35"/>
    </row>
    <row r="6" spans="1:7" ht="6.75" customHeight="1" x14ac:dyDescent="0.2"/>
    <row r="7" spans="1:7" ht="42.75" customHeight="1" x14ac:dyDescent="0.2"/>
    <row r="8" spans="1:7" x14ac:dyDescent="0.2">
      <c r="B8" s="725" t="s">
        <v>2076</v>
      </c>
      <c r="C8" s="725" t="s">
        <v>2079</v>
      </c>
      <c r="D8" s="725" t="s">
        <v>2080</v>
      </c>
      <c r="E8" s="725" t="s">
        <v>2081</v>
      </c>
      <c r="F8" s="35"/>
      <c r="G8" s="35"/>
    </row>
    <row r="10" spans="1:7" ht="18.75" x14ac:dyDescent="0.3">
      <c r="B10" s="852" t="s">
        <v>253</v>
      </c>
      <c r="C10" s="852"/>
      <c r="D10" s="852"/>
      <c r="E10" s="852"/>
      <c r="F10" s="599"/>
    </row>
    <row r="12" spans="1:7" ht="15.95" customHeight="1" x14ac:dyDescent="0.2">
      <c r="B12" s="726" t="s">
        <v>183</v>
      </c>
    </row>
    <row r="13" spans="1:7" ht="15.95" customHeight="1" x14ac:dyDescent="0.2">
      <c r="B13" s="726" t="s">
        <v>184</v>
      </c>
    </row>
    <row r="14" spans="1:7" ht="15.95" customHeight="1" x14ac:dyDescent="0.2">
      <c r="B14" s="726" t="s">
        <v>1346</v>
      </c>
    </row>
    <row r="15" spans="1:7" ht="15.95" customHeight="1" x14ac:dyDescent="0.2">
      <c r="B15" s="726" t="s">
        <v>1386</v>
      </c>
    </row>
    <row r="16" spans="1:7" ht="15.95" customHeight="1" x14ac:dyDescent="0.2">
      <c r="B16" s="726" t="s">
        <v>185</v>
      </c>
    </row>
    <row r="17" spans="1:6" ht="15.95" customHeight="1" x14ac:dyDescent="0.2">
      <c r="B17" s="726" t="s">
        <v>181</v>
      </c>
    </row>
    <row r="19" spans="1:6" ht="18.75" x14ac:dyDescent="0.3">
      <c r="B19" s="852" t="s">
        <v>287</v>
      </c>
      <c r="C19" s="852"/>
      <c r="D19" s="852"/>
      <c r="E19" s="852"/>
      <c r="F19" s="599"/>
    </row>
    <row r="20" spans="1:6" ht="15.75" customHeight="1" x14ac:dyDescent="0.2"/>
    <row r="21" spans="1:6" x14ac:dyDescent="0.2">
      <c r="A21" s="35"/>
      <c r="B21" s="726" t="s">
        <v>1303</v>
      </c>
      <c r="C21" s="35"/>
      <c r="D21" s="726" t="s">
        <v>2084</v>
      </c>
      <c r="E21" s="35"/>
      <c r="F21" s="726" t="s">
        <v>180</v>
      </c>
    </row>
    <row r="23" spans="1:6" x14ac:dyDescent="0.2">
      <c r="B23" s="633"/>
    </row>
  </sheetData>
  <sheetProtection password="D809" sheet="1" objects="1" scenarios="1" selectLockedCells="1"/>
  <mergeCells count="3">
    <mergeCell ref="B3:E3"/>
    <mergeCell ref="B10:E10"/>
    <mergeCell ref="B19:E19"/>
  </mergeCells>
  <phoneticPr fontId="15" type="noConversion"/>
  <hyperlinks>
    <hyperlink ref="B5" location="Cube!C3" tooltip="Cubes" display="Cubes"/>
    <hyperlink ref="B8" location="Cylinder!C3" tooltip="Cylinder" display="Cylinder"/>
    <hyperlink ref="C5" location="Prism!C3" tooltip="Prism" display="Prism"/>
    <hyperlink ref="C8" location="'Hollow Cylinder'!C3" tooltip="Hollow Cylinder" display="Hollow Cylinder"/>
    <hyperlink ref="D8" location="Cone!C3" tooltip="Cone" display="Cone"/>
    <hyperlink ref="E8" location="'Fustum of Cone'!C3" tooltip="Fustum of a Cone" display="Fustum of a Cone"/>
    <hyperlink ref="D5" location="Pyramid!C3" tooltip="Pyramid" display="Pyramid"/>
    <hyperlink ref="E5" location="'Fustum of Pyramid'!A1" tooltip="Fustum of a Pyramid" display="Fustum of a Pyramid"/>
    <hyperlink ref="F5" location="Sphere!C3" tooltip="Sphere" display="Sphere"/>
    <hyperlink ref="B21" location="Weight10" tooltip="Electric Motors" display="Electric Motors"/>
    <hyperlink ref="D21" location="Weight11" tooltip="Valve Bonnets" display="Valve Bonnets"/>
    <hyperlink ref="F21" location="Weight12" tooltip="Pump upper casing" display="Pump upper casing"/>
    <hyperlink ref="B17" location="Weight13" tooltip="Steel Pipes" display="Steel Pipes"/>
    <hyperlink ref="B12" location="Weight14" tooltip="Standard I-Beams" display="Standard I-Beams"/>
    <hyperlink ref="B13" location="Weight15" tooltip="Wide Flange I-Beams" display="Wide Flange I-Beams"/>
    <hyperlink ref="B14" location="Weight16" tooltip="Steel Channels" display="Steel Channels"/>
    <hyperlink ref="B15" location="Weight17" tooltip="Steel Angles" display="Steel Angles"/>
    <hyperlink ref="B16" location="Weight18" tooltip="Non-Standard I-Beams" display="Non-Standard I-Beams"/>
  </hyperlinks>
  <printOptions horizontalCentered="1"/>
  <pageMargins left="0.75" right="0.75" top="1.75" bottom="1.5" header="0.5" footer="0.5"/>
  <pageSetup scale="96" orientation="portrait" horizontalDpi="0" verticalDpi="0" r:id="rId1"/>
  <headerFooter alignWithMargins="0">
    <oddHeader>&amp;L&amp;G&amp;R&amp;G</oddHeader>
    <oddFooter>&amp;C&amp;G</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S25"/>
  <sheetViews>
    <sheetView workbookViewId="0">
      <selection activeCell="C11" sqref="C11"/>
    </sheetView>
  </sheetViews>
  <sheetFormatPr defaultRowHeight="12.75" x14ac:dyDescent="0.2"/>
  <cols>
    <col min="3" max="3" width="43.140625" bestFit="1" customWidth="1"/>
    <col min="6" max="8" width="11.28515625" bestFit="1" customWidth="1"/>
    <col min="9" max="11" width="18.28515625" bestFit="1" customWidth="1"/>
    <col min="12" max="12" width="10.28515625" bestFit="1" customWidth="1"/>
    <col min="16" max="16" width="11.42578125" customWidth="1"/>
    <col min="17" max="19" width="10.7109375" bestFit="1" customWidth="1"/>
  </cols>
  <sheetData>
    <row r="1" spans="1:19" x14ac:dyDescent="0.2">
      <c r="A1" s="468" t="s">
        <v>1807</v>
      </c>
      <c r="C1" s="22" t="s">
        <v>1788</v>
      </c>
      <c r="D1" s="22" t="s">
        <v>2058</v>
      </c>
      <c r="E1" s="22" t="s">
        <v>2059</v>
      </c>
      <c r="F1" s="22" t="s">
        <v>1715</v>
      </c>
      <c r="G1" s="22" t="s">
        <v>1713</v>
      </c>
      <c r="H1" s="22" t="s">
        <v>1714</v>
      </c>
      <c r="I1" s="22" t="s">
        <v>1723</v>
      </c>
      <c r="J1" s="22" t="s">
        <v>1724</v>
      </c>
      <c r="K1" s="22" t="s">
        <v>1722</v>
      </c>
      <c r="L1" s="473" t="s">
        <v>1725</v>
      </c>
      <c r="M1" s="473" t="s">
        <v>1726</v>
      </c>
      <c r="N1" s="473" t="s">
        <v>1728</v>
      </c>
      <c r="O1" s="473" t="s">
        <v>1729</v>
      </c>
      <c r="P1" s="473" t="s">
        <v>1730</v>
      </c>
      <c r="Q1" s="473" t="s">
        <v>1732</v>
      </c>
      <c r="R1" s="473" t="s">
        <v>1733</v>
      </c>
      <c r="S1" s="473" t="s">
        <v>1731</v>
      </c>
    </row>
    <row r="2" spans="1:19" x14ac:dyDescent="0.2">
      <c r="A2" s="7">
        <v>1</v>
      </c>
      <c r="B2" t="s">
        <v>1734</v>
      </c>
      <c r="C2" t="s">
        <v>1790</v>
      </c>
      <c r="D2" s="239">
        <v>2100</v>
      </c>
      <c r="E2" s="239">
        <v>1700</v>
      </c>
      <c r="F2" s="239">
        <v>3600</v>
      </c>
      <c r="G2" s="239">
        <v>3000</v>
      </c>
      <c r="H2" s="239">
        <v>2100</v>
      </c>
      <c r="I2" s="239">
        <v>5500</v>
      </c>
      <c r="J2" s="239">
        <v>4400</v>
      </c>
      <c r="K2" s="239">
        <v>3200</v>
      </c>
      <c r="L2" s="239">
        <v>953</v>
      </c>
      <c r="M2" s="239">
        <v>771</v>
      </c>
      <c r="N2" s="239">
        <v>1633</v>
      </c>
      <c r="O2" s="239">
        <v>1361</v>
      </c>
      <c r="P2" s="239">
        <v>953</v>
      </c>
      <c r="Q2" s="239">
        <v>2495</v>
      </c>
      <c r="R2" s="239">
        <v>1996</v>
      </c>
      <c r="S2" s="239">
        <v>1451</v>
      </c>
    </row>
    <row r="3" spans="1:19" x14ac:dyDescent="0.2">
      <c r="A3" s="7">
        <v>2</v>
      </c>
      <c r="B3" t="s">
        <v>1734</v>
      </c>
      <c r="C3" t="s">
        <v>1789</v>
      </c>
      <c r="D3" s="239">
        <v>3500</v>
      </c>
      <c r="E3" s="239">
        <v>2800</v>
      </c>
      <c r="F3" s="239">
        <v>6100</v>
      </c>
      <c r="G3" s="239">
        <v>4900</v>
      </c>
      <c r="H3" s="239">
        <v>3500</v>
      </c>
      <c r="I3" s="239">
        <v>9100</v>
      </c>
      <c r="J3" s="239">
        <v>7400</v>
      </c>
      <c r="K3" s="239">
        <v>5200</v>
      </c>
      <c r="L3" s="239">
        <v>1588</v>
      </c>
      <c r="M3" s="239">
        <v>1270</v>
      </c>
      <c r="N3" s="239">
        <v>2767</v>
      </c>
      <c r="O3" s="239">
        <v>2223</v>
      </c>
      <c r="P3" s="239">
        <v>1588</v>
      </c>
      <c r="Q3" s="239">
        <v>4128</v>
      </c>
      <c r="R3" s="239">
        <v>3357</v>
      </c>
      <c r="S3" s="239">
        <v>2359</v>
      </c>
    </row>
    <row r="4" spans="1:19" x14ac:dyDescent="0.2">
      <c r="A4" s="7">
        <v>3</v>
      </c>
      <c r="B4" t="s">
        <v>1734</v>
      </c>
      <c r="C4" t="s">
        <v>1791</v>
      </c>
      <c r="D4" s="239">
        <v>4500</v>
      </c>
      <c r="E4" s="239">
        <v>3600</v>
      </c>
      <c r="F4" s="239">
        <v>7800</v>
      </c>
      <c r="G4" s="239">
        <v>6400</v>
      </c>
      <c r="H4" s="239">
        <v>4500</v>
      </c>
      <c r="I4" s="239">
        <v>11700</v>
      </c>
      <c r="J4" s="239">
        <v>9500</v>
      </c>
      <c r="K4" s="239">
        <v>6800</v>
      </c>
      <c r="L4" s="239">
        <v>2041</v>
      </c>
      <c r="M4" s="239">
        <v>1633</v>
      </c>
      <c r="N4" s="239">
        <v>3538</v>
      </c>
      <c r="O4" s="239">
        <v>2903</v>
      </c>
      <c r="P4" s="239">
        <v>2041</v>
      </c>
      <c r="Q4" s="239">
        <v>5307</v>
      </c>
      <c r="R4" s="239">
        <v>4309</v>
      </c>
      <c r="S4" s="239">
        <v>3084</v>
      </c>
    </row>
    <row r="5" spans="1:19" x14ac:dyDescent="0.2">
      <c r="A5" s="7">
        <v>4</v>
      </c>
      <c r="B5" t="s">
        <v>1734</v>
      </c>
      <c r="C5" t="s">
        <v>1792</v>
      </c>
      <c r="D5" s="239">
        <v>7100</v>
      </c>
      <c r="E5" s="239">
        <v>5700</v>
      </c>
      <c r="F5" s="239">
        <v>12300</v>
      </c>
      <c r="G5" s="239">
        <v>10000</v>
      </c>
      <c r="H5" s="239">
        <v>7100</v>
      </c>
      <c r="I5" s="239">
        <v>18400</v>
      </c>
      <c r="J5" s="239">
        <v>15100</v>
      </c>
      <c r="K5" s="239">
        <v>10600</v>
      </c>
      <c r="L5" s="239">
        <v>3221</v>
      </c>
      <c r="M5" s="239">
        <v>2585</v>
      </c>
      <c r="N5" s="239">
        <v>5579</v>
      </c>
      <c r="O5" s="239">
        <v>4536</v>
      </c>
      <c r="P5" s="239">
        <v>3221</v>
      </c>
      <c r="Q5" s="239">
        <v>8346</v>
      </c>
      <c r="R5" s="239">
        <v>6849</v>
      </c>
      <c r="S5" s="239">
        <v>4808</v>
      </c>
    </row>
    <row r="6" spans="1:19" x14ac:dyDescent="0.2">
      <c r="A6" s="7">
        <v>5</v>
      </c>
      <c r="B6" t="s">
        <v>1734</v>
      </c>
      <c r="C6" t="s">
        <v>1793</v>
      </c>
      <c r="D6" s="239">
        <v>12000</v>
      </c>
      <c r="E6" s="239">
        <v>9600</v>
      </c>
      <c r="F6" s="239">
        <v>20800</v>
      </c>
      <c r="G6" s="239">
        <v>17000</v>
      </c>
      <c r="H6" s="239">
        <v>12000</v>
      </c>
      <c r="I6" s="239">
        <v>31200</v>
      </c>
      <c r="J6" s="239">
        <v>25500</v>
      </c>
      <c r="K6" s="239">
        <v>1800</v>
      </c>
      <c r="L6" s="239">
        <v>5443</v>
      </c>
      <c r="M6" s="239">
        <v>4354</v>
      </c>
      <c r="N6" s="239">
        <v>9435</v>
      </c>
      <c r="O6" s="239">
        <v>7711</v>
      </c>
      <c r="P6" s="239">
        <v>5443</v>
      </c>
      <c r="Q6" s="239">
        <v>14152</v>
      </c>
      <c r="R6" s="239">
        <v>11567</v>
      </c>
      <c r="S6" s="239">
        <v>816</v>
      </c>
    </row>
    <row r="7" spans="1:19" x14ac:dyDescent="0.2">
      <c r="A7" s="7">
        <v>6</v>
      </c>
      <c r="B7" t="s">
        <v>1734</v>
      </c>
      <c r="C7" t="s">
        <v>1794</v>
      </c>
      <c r="D7" s="239">
        <v>18100</v>
      </c>
      <c r="E7" s="239">
        <v>14500</v>
      </c>
      <c r="F7" s="239">
        <v>31300</v>
      </c>
      <c r="G7" s="239">
        <v>25600</v>
      </c>
      <c r="H7" s="239">
        <v>18100</v>
      </c>
      <c r="I7" s="239">
        <v>47000</v>
      </c>
      <c r="J7" s="239">
        <v>38400</v>
      </c>
      <c r="K7" s="239">
        <v>27100</v>
      </c>
      <c r="L7" s="239">
        <v>8210</v>
      </c>
      <c r="M7" s="239">
        <v>6577</v>
      </c>
      <c r="N7" s="239">
        <v>14197</v>
      </c>
      <c r="O7" s="239">
        <v>11612</v>
      </c>
      <c r="P7" s="239">
        <v>8210</v>
      </c>
      <c r="Q7" s="239">
        <v>21319</v>
      </c>
      <c r="R7" s="239">
        <v>17418</v>
      </c>
      <c r="S7" s="239">
        <v>12292</v>
      </c>
    </row>
    <row r="8" spans="1:19" x14ac:dyDescent="0.2">
      <c r="A8" s="7">
        <v>7</v>
      </c>
      <c r="B8" t="s">
        <v>1734</v>
      </c>
      <c r="C8" t="s">
        <v>1795</v>
      </c>
      <c r="D8" s="239">
        <v>28300</v>
      </c>
      <c r="E8" s="239">
        <v>22600</v>
      </c>
      <c r="F8" s="239">
        <v>49000</v>
      </c>
      <c r="G8" s="239">
        <v>40000</v>
      </c>
      <c r="H8" s="239">
        <v>28300</v>
      </c>
      <c r="I8" s="239">
        <v>73500</v>
      </c>
      <c r="J8" s="239">
        <v>60000</v>
      </c>
      <c r="K8" s="239">
        <v>42400</v>
      </c>
      <c r="L8" s="239">
        <v>12837</v>
      </c>
      <c r="M8" s="239">
        <v>10251</v>
      </c>
      <c r="N8" s="239">
        <v>22226</v>
      </c>
      <c r="O8" s="239">
        <v>18144</v>
      </c>
      <c r="P8" s="239">
        <v>12837</v>
      </c>
      <c r="Q8" s="239">
        <v>33339</v>
      </c>
      <c r="R8" s="239">
        <v>27216</v>
      </c>
      <c r="S8" s="239">
        <v>19232</v>
      </c>
    </row>
    <row r="9" spans="1:19" x14ac:dyDescent="0.2">
      <c r="A9" s="7">
        <v>8</v>
      </c>
      <c r="B9" t="s">
        <v>1734</v>
      </c>
      <c r="C9" t="s">
        <v>1796</v>
      </c>
      <c r="D9" s="239">
        <v>34200</v>
      </c>
      <c r="E9" s="239">
        <v>27400</v>
      </c>
      <c r="F9" s="239">
        <v>59200</v>
      </c>
      <c r="G9" s="239">
        <v>48400</v>
      </c>
      <c r="H9" s="239">
        <v>34200</v>
      </c>
      <c r="I9" s="239">
        <v>88900</v>
      </c>
      <c r="J9" s="239">
        <v>72500</v>
      </c>
      <c r="K9" s="239">
        <v>51300</v>
      </c>
      <c r="L9" s="239">
        <v>15513</v>
      </c>
      <c r="M9" s="239">
        <v>12428</v>
      </c>
      <c r="N9" s="239">
        <v>26853</v>
      </c>
      <c r="O9" s="239">
        <v>21954</v>
      </c>
      <c r="P9" s="239">
        <v>15513</v>
      </c>
      <c r="Q9" s="239">
        <v>40324</v>
      </c>
      <c r="R9" s="239">
        <v>32885</v>
      </c>
      <c r="S9" s="239">
        <v>23269</v>
      </c>
    </row>
    <row r="10" spans="1:19" x14ac:dyDescent="0.2">
      <c r="A10" s="7">
        <v>9</v>
      </c>
      <c r="B10" t="s">
        <v>1734</v>
      </c>
      <c r="C10" t="s">
        <v>1797</v>
      </c>
      <c r="D10" s="239">
        <v>47700</v>
      </c>
      <c r="E10" s="239">
        <v>38200</v>
      </c>
      <c r="F10" s="239">
        <v>82600</v>
      </c>
      <c r="G10" s="239">
        <v>67400</v>
      </c>
      <c r="H10" s="239">
        <v>47700</v>
      </c>
      <c r="I10" s="239">
        <v>123900</v>
      </c>
      <c r="J10" s="239">
        <v>101200</v>
      </c>
      <c r="K10" s="239">
        <v>71500</v>
      </c>
      <c r="L10" s="239">
        <v>21636</v>
      </c>
      <c r="M10" s="239">
        <v>17327</v>
      </c>
      <c r="N10" s="239">
        <v>37467</v>
      </c>
      <c r="O10" s="239">
        <v>30572</v>
      </c>
      <c r="P10" s="239">
        <v>21636</v>
      </c>
      <c r="Q10" s="239">
        <v>56200</v>
      </c>
      <c r="R10" s="239">
        <v>45904</v>
      </c>
      <c r="S10" s="239">
        <v>32432</v>
      </c>
    </row>
    <row r="11" spans="1:19" x14ac:dyDescent="0.2">
      <c r="A11" s="7">
        <v>10</v>
      </c>
      <c r="B11" t="s">
        <v>1734</v>
      </c>
      <c r="C11" t="s">
        <v>1798</v>
      </c>
      <c r="D11" s="239">
        <v>72300</v>
      </c>
      <c r="E11" s="239">
        <v>57800</v>
      </c>
      <c r="F11" s="239">
        <v>125200</v>
      </c>
      <c r="G11" s="239">
        <v>102200</v>
      </c>
      <c r="H11" s="239">
        <v>72300</v>
      </c>
      <c r="I11" s="239">
        <v>187800</v>
      </c>
      <c r="J11" s="239">
        <v>153400</v>
      </c>
      <c r="K11" s="239">
        <v>108400</v>
      </c>
      <c r="L11" s="239">
        <v>32795</v>
      </c>
      <c r="M11" s="239">
        <v>26218</v>
      </c>
      <c r="N11" s="239">
        <v>56790</v>
      </c>
      <c r="O11" s="239">
        <v>46357</v>
      </c>
      <c r="P11" s="239">
        <v>32795</v>
      </c>
      <c r="Q11" s="239">
        <v>85185</v>
      </c>
      <c r="R11" s="239">
        <v>69581</v>
      </c>
      <c r="S11" s="239">
        <v>49169</v>
      </c>
    </row>
    <row r="12" spans="1:19" x14ac:dyDescent="0.2">
      <c r="A12" s="7">
        <v>11</v>
      </c>
      <c r="B12" t="s">
        <v>1735</v>
      </c>
      <c r="C12" t="s">
        <v>1799</v>
      </c>
      <c r="D12" s="239">
        <v>2700</v>
      </c>
      <c r="E12" s="239">
        <v>2100</v>
      </c>
      <c r="F12" s="239">
        <v>4700</v>
      </c>
      <c r="G12" s="239">
        <v>3800</v>
      </c>
      <c r="H12" s="239">
        <v>2700</v>
      </c>
      <c r="I12" s="239">
        <v>7000</v>
      </c>
      <c r="J12" s="239">
        <v>5700</v>
      </c>
      <c r="K12" s="239">
        <v>4000</v>
      </c>
      <c r="L12" s="239">
        <v>1225</v>
      </c>
      <c r="M12" s="239">
        <v>953</v>
      </c>
      <c r="N12" s="239">
        <v>2132</v>
      </c>
      <c r="O12" s="239">
        <v>1724</v>
      </c>
      <c r="P12" s="239">
        <v>1225</v>
      </c>
      <c r="Q12" s="239">
        <v>3175</v>
      </c>
      <c r="R12" s="239">
        <v>2585</v>
      </c>
      <c r="S12" s="239">
        <v>1814</v>
      </c>
    </row>
    <row r="13" spans="1:19" x14ac:dyDescent="0.2">
      <c r="A13" s="7">
        <v>12</v>
      </c>
      <c r="B13" t="s">
        <v>1735</v>
      </c>
      <c r="C13" t="s">
        <v>1800</v>
      </c>
      <c r="D13" s="239">
        <v>4300</v>
      </c>
      <c r="E13" s="239">
        <v>3500</v>
      </c>
      <c r="F13" s="239">
        <v>7400</v>
      </c>
      <c r="G13" s="239">
        <v>6100</v>
      </c>
      <c r="H13" s="239">
        <v>4300</v>
      </c>
      <c r="I13" s="239">
        <v>11200</v>
      </c>
      <c r="J13" s="239">
        <v>9100</v>
      </c>
      <c r="K13" s="239">
        <v>6400</v>
      </c>
      <c r="L13" s="239">
        <v>1950</v>
      </c>
      <c r="M13" s="239">
        <v>1588</v>
      </c>
      <c r="N13" s="239">
        <v>3357</v>
      </c>
      <c r="O13" s="239">
        <v>2767</v>
      </c>
      <c r="P13" s="239">
        <v>1950</v>
      </c>
      <c r="Q13" s="239">
        <v>5080</v>
      </c>
      <c r="R13" s="239">
        <v>4128</v>
      </c>
      <c r="S13" s="239">
        <v>2903</v>
      </c>
    </row>
    <row r="14" spans="1:19" x14ac:dyDescent="0.2">
      <c r="A14" s="7">
        <v>13</v>
      </c>
      <c r="B14" t="s">
        <v>1735</v>
      </c>
      <c r="C14" t="s">
        <v>1801</v>
      </c>
      <c r="D14" s="239">
        <v>5700</v>
      </c>
      <c r="E14" s="239">
        <v>4500</v>
      </c>
      <c r="F14" s="239">
        <v>9900</v>
      </c>
      <c r="G14" s="239">
        <v>8100</v>
      </c>
      <c r="H14" s="239">
        <v>5700</v>
      </c>
      <c r="I14" s="239">
        <v>14800</v>
      </c>
      <c r="J14" s="239">
        <v>12100</v>
      </c>
      <c r="K14" s="239">
        <v>8500</v>
      </c>
      <c r="L14" s="239">
        <v>2585</v>
      </c>
      <c r="M14" s="239">
        <v>2041</v>
      </c>
      <c r="N14" s="239">
        <v>4491</v>
      </c>
      <c r="O14" s="239">
        <v>3674</v>
      </c>
      <c r="P14" s="239">
        <v>2585</v>
      </c>
      <c r="Q14" s="239">
        <v>6713</v>
      </c>
      <c r="R14" s="239">
        <v>5488</v>
      </c>
      <c r="S14" s="239">
        <v>3856</v>
      </c>
    </row>
    <row r="15" spans="1:19" x14ac:dyDescent="0.2">
      <c r="A15" s="7">
        <v>14</v>
      </c>
      <c r="B15" t="s">
        <v>1735</v>
      </c>
      <c r="C15" t="s">
        <v>1802</v>
      </c>
      <c r="D15" s="239">
        <v>8800</v>
      </c>
      <c r="E15" s="239">
        <v>7100</v>
      </c>
      <c r="F15" s="239">
        <v>15200</v>
      </c>
      <c r="G15" s="239">
        <v>12400</v>
      </c>
      <c r="H15" s="239">
        <v>8800</v>
      </c>
      <c r="I15" s="239">
        <v>22900</v>
      </c>
      <c r="J15" s="239">
        <v>18700</v>
      </c>
      <c r="K15" s="239">
        <v>13200</v>
      </c>
      <c r="L15" s="239">
        <v>3992</v>
      </c>
      <c r="M15" s="239">
        <v>3221</v>
      </c>
      <c r="N15" s="239">
        <v>6895</v>
      </c>
      <c r="O15" s="239">
        <v>5625</v>
      </c>
      <c r="P15" s="239">
        <v>3992</v>
      </c>
      <c r="Q15" s="239">
        <v>10387</v>
      </c>
      <c r="R15" s="239">
        <v>8482</v>
      </c>
      <c r="S15" s="239">
        <v>5987</v>
      </c>
    </row>
    <row r="16" spans="1:19" x14ac:dyDescent="0.2">
      <c r="A16" s="7">
        <v>15</v>
      </c>
      <c r="B16" t="s">
        <v>1735</v>
      </c>
      <c r="C16" t="s">
        <v>1803</v>
      </c>
      <c r="D16" s="239">
        <v>15000</v>
      </c>
      <c r="E16" s="239">
        <v>12000</v>
      </c>
      <c r="F16" s="239">
        <v>26000</v>
      </c>
      <c r="G16" s="239">
        <v>21200</v>
      </c>
      <c r="H16" s="239">
        <v>15000</v>
      </c>
      <c r="I16" s="239">
        <v>39000</v>
      </c>
      <c r="J16" s="239">
        <v>31800</v>
      </c>
      <c r="K16" s="239">
        <v>22500</v>
      </c>
      <c r="L16" s="239">
        <v>6804</v>
      </c>
      <c r="M16" s="239">
        <v>5443</v>
      </c>
      <c r="N16" s="239">
        <v>11793</v>
      </c>
      <c r="O16" s="239">
        <v>9616</v>
      </c>
      <c r="P16" s="239">
        <v>6804</v>
      </c>
      <c r="Q16" s="239">
        <v>17690</v>
      </c>
      <c r="R16" s="239">
        <v>14424</v>
      </c>
      <c r="S16" s="239">
        <v>10206</v>
      </c>
    </row>
    <row r="17" spans="1:19" x14ac:dyDescent="0.2">
      <c r="A17" s="7">
        <v>16</v>
      </c>
      <c r="B17" t="s">
        <v>1735</v>
      </c>
      <c r="C17" t="s">
        <v>1804</v>
      </c>
      <c r="D17" s="239">
        <v>22600</v>
      </c>
      <c r="E17" s="239">
        <v>18100</v>
      </c>
      <c r="F17" s="239">
        <v>39100</v>
      </c>
      <c r="G17" s="239">
        <v>32000</v>
      </c>
      <c r="H17" s="239">
        <v>22600</v>
      </c>
      <c r="I17" s="239">
        <v>58700</v>
      </c>
      <c r="J17" s="239">
        <v>47900</v>
      </c>
      <c r="K17" s="239">
        <v>33900</v>
      </c>
      <c r="L17" s="239">
        <v>10251</v>
      </c>
      <c r="M17" s="239">
        <v>8210</v>
      </c>
      <c r="N17" s="239">
        <v>17735</v>
      </c>
      <c r="O17" s="239">
        <v>14515</v>
      </c>
      <c r="P17" s="239">
        <v>10251</v>
      </c>
      <c r="Q17" s="239">
        <v>26626</v>
      </c>
      <c r="R17" s="239">
        <v>21727</v>
      </c>
      <c r="S17" s="239">
        <v>15377</v>
      </c>
    </row>
    <row r="18" spans="1:19" x14ac:dyDescent="0.2">
      <c r="A18" s="7">
        <v>17</v>
      </c>
      <c r="B18" t="s">
        <v>1735</v>
      </c>
      <c r="C18" t="s">
        <v>1805</v>
      </c>
      <c r="D18" s="239">
        <v>35300</v>
      </c>
      <c r="E18" s="239">
        <v>28300</v>
      </c>
      <c r="F18" s="239">
        <v>61100</v>
      </c>
      <c r="G18" s="239">
        <v>49900</v>
      </c>
      <c r="H18" s="239">
        <v>35300</v>
      </c>
      <c r="I18" s="239">
        <v>91700</v>
      </c>
      <c r="J18" s="239">
        <v>74900</v>
      </c>
      <c r="K18" s="239">
        <v>53000</v>
      </c>
      <c r="L18" s="239">
        <v>16012</v>
      </c>
      <c r="M18" s="239">
        <v>12837</v>
      </c>
      <c r="N18" s="239">
        <v>27714</v>
      </c>
      <c r="O18" s="239">
        <v>22634</v>
      </c>
      <c r="P18" s="239">
        <v>16012</v>
      </c>
      <c r="Q18" s="239">
        <v>41594</v>
      </c>
      <c r="R18" s="239">
        <v>33974</v>
      </c>
      <c r="S18" s="239">
        <v>24040</v>
      </c>
    </row>
    <row r="19" spans="1:19" x14ac:dyDescent="0.2">
      <c r="A19" s="7">
        <v>18</v>
      </c>
      <c r="B19" t="s">
        <v>1735</v>
      </c>
      <c r="C19" t="s">
        <v>1806</v>
      </c>
      <c r="D19" s="239">
        <v>42700</v>
      </c>
      <c r="E19" s="239">
        <v>34200</v>
      </c>
      <c r="F19" s="239">
        <v>74000</v>
      </c>
      <c r="G19" s="239">
        <v>60400</v>
      </c>
      <c r="H19" s="239">
        <v>42700</v>
      </c>
      <c r="I19" s="239">
        <v>110900</v>
      </c>
      <c r="J19" s="239">
        <v>90600</v>
      </c>
      <c r="K19" s="239">
        <v>64000</v>
      </c>
      <c r="L19" s="239">
        <v>19368</v>
      </c>
      <c r="M19" s="239">
        <v>15513</v>
      </c>
      <c r="N19" s="239">
        <v>33566</v>
      </c>
      <c r="O19" s="239">
        <v>27397</v>
      </c>
      <c r="P19" s="239">
        <v>19368</v>
      </c>
      <c r="Q19" s="239">
        <v>50303</v>
      </c>
      <c r="R19" s="239">
        <v>41095</v>
      </c>
      <c r="S19" s="239">
        <v>29030</v>
      </c>
    </row>
    <row r="25" spans="1:19" x14ac:dyDescent="0.2">
      <c r="C25" t="s">
        <v>1712</v>
      </c>
    </row>
  </sheetData>
  <phoneticPr fontId="15" type="noConversion"/>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B1:K100"/>
  <sheetViews>
    <sheetView topLeftCell="D71" workbookViewId="0">
      <selection activeCell="L87" sqref="L87"/>
    </sheetView>
  </sheetViews>
  <sheetFormatPr defaultRowHeight="12.75" x14ac:dyDescent="0.2"/>
  <cols>
    <col min="3" max="3" width="55.140625" bestFit="1" customWidth="1"/>
    <col min="4" max="4" width="11.28515625" bestFit="1" customWidth="1"/>
    <col min="5" max="5" width="9" customWidth="1"/>
    <col min="8" max="8" width="21" bestFit="1" customWidth="1"/>
    <col min="10" max="10" width="21" bestFit="1" customWidth="1"/>
  </cols>
  <sheetData>
    <row r="1" spans="2:4" x14ac:dyDescent="0.2">
      <c r="C1" s="534" t="s">
        <v>314</v>
      </c>
      <c r="D1" s="534" t="s">
        <v>315</v>
      </c>
    </row>
    <row r="2" spans="2:4" x14ac:dyDescent="0.2">
      <c r="B2" s="8">
        <v>1</v>
      </c>
      <c r="C2" s="535" t="s">
        <v>336</v>
      </c>
      <c r="D2" s="230">
        <v>1600</v>
      </c>
    </row>
    <row r="3" spans="2:4" x14ac:dyDescent="0.2">
      <c r="B3" s="8">
        <v>2</v>
      </c>
      <c r="C3" s="535" t="s">
        <v>337</v>
      </c>
      <c r="D3" s="230">
        <v>3200</v>
      </c>
    </row>
    <row r="4" spans="2:4" x14ac:dyDescent="0.2">
      <c r="B4" s="8">
        <v>3</v>
      </c>
      <c r="C4" s="535" t="s">
        <v>338</v>
      </c>
      <c r="D4" s="230">
        <v>4800</v>
      </c>
    </row>
    <row r="5" spans="2:4" x14ac:dyDescent="0.2">
      <c r="B5" s="8">
        <v>4</v>
      </c>
      <c r="C5" s="535" t="s">
        <v>339</v>
      </c>
      <c r="D5" s="230">
        <v>6400</v>
      </c>
    </row>
    <row r="6" spans="2:4" x14ac:dyDescent="0.2">
      <c r="B6" s="8">
        <v>5</v>
      </c>
      <c r="C6" s="535" t="s">
        <v>340</v>
      </c>
      <c r="D6" s="230">
        <v>8000</v>
      </c>
    </row>
    <row r="7" spans="2:4" x14ac:dyDescent="0.2">
      <c r="B7" s="8">
        <v>6</v>
      </c>
      <c r="C7" s="535" t="s">
        <v>341</v>
      </c>
      <c r="D7" s="230">
        <v>9600</v>
      </c>
    </row>
    <row r="8" spans="2:4" x14ac:dyDescent="0.2">
      <c r="B8" s="8">
        <v>7</v>
      </c>
      <c r="C8" s="535" t="s">
        <v>342</v>
      </c>
      <c r="D8" s="230">
        <v>12800</v>
      </c>
    </row>
    <row r="9" spans="2:4" x14ac:dyDescent="0.2">
      <c r="B9" s="8">
        <v>8</v>
      </c>
      <c r="C9" s="535" t="s">
        <v>343</v>
      </c>
      <c r="D9" s="230">
        <v>16000</v>
      </c>
    </row>
    <row r="10" spans="2:4" x14ac:dyDescent="0.2">
      <c r="B10" s="8">
        <v>9</v>
      </c>
      <c r="C10" s="535" t="s">
        <v>344</v>
      </c>
      <c r="D10" s="230">
        <v>19200</v>
      </c>
    </row>
    <row r="11" spans="2:4" x14ac:dyDescent="0.2">
      <c r="B11" s="8">
        <v>10</v>
      </c>
      <c r="C11" s="535" t="s">
        <v>345</v>
      </c>
      <c r="D11" s="230">
        <v>3200</v>
      </c>
    </row>
    <row r="12" spans="2:4" x14ac:dyDescent="0.2">
      <c r="B12" s="8">
        <v>11</v>
      </c>
      <c r="C12" s="535" t="s">
        <v>346</v>
      </c>
      <c r="D12" s="230">
        <v>6400</v>
      </c>
    </row>
    <row r="13" spans="2:4" x14ac:dyDescent="0.2">
      <c r="B13" s="8">
        <v>12</v>
      </c>
      <c r="C13" s="535" t="s">
        <v>347</v>
      </c>
      <c r="D13" s="230">
        <v>8600</v>
      </c>
    </row>
    <row r="14" spans="2:4" x14ac:dyDescent="0.2">
      <c r="B14" s="8">
        <v>13</v>
      </c>
      <c r="C14" s="535" t="s">
        <v>348</v>
      </c>
      <c r="D14" s="230">
        <v>11500</v>
      </c>
    </row>
    <row r="15" spans="2:4" x14ac:dyDescent="0.2">
      <c r="B15" s="8">
        <v>14</v>
      </c>
      <c r="C15" s="535" t="s">
        <v>349</v>
      </c>
      <c r="D15" s="230">
        <v>13600</v>
      </c>
    </row>
    <row r="16" spans="2:4" x14ac:dyDescent="0.2">
      <c r="B16" s="8">
        <v>15</v>
      </c>
      <c r="C16" s="535" t="s">
        <v>350</v>
      </c>
      <c r="D16" s="230">
        <v>16300</v>
      </c>
    </row>
    <row r="17" spans="2:4" x14ac:dyDescent="0.2">
      <c r="B17" s="8">
        <v>16</v>
      </c>
      <c r="C17" s="535" t="s">
        <v>351</v>
      </c>
      <c r="D17" s="230">
        <v>19200</v>
      </c>
    </row>
    <row r="18" spans="2:4" x14ac:dyDescent="0.2">
      <c r="B18" s="8">
        <v>17</v>
      </c>
      <c r="C18" s="535" t="s">
        <v>352</v>
      </c>
      <c r="D18" s="230">
        <v>22400</v>
      </c>
    </row>
    <row r="19" spans="2:4" x14ac:dyDescent="0.2">
      <c r="B19" s="8">
        <v>18</v>
      </c>
      <c r="C19" s="535" t="s">
        <v>353</v>
      </c>
      <c r="D19" s="230">
        <v>26900</v>
      </c>
    </row>
    <row r="20" spans="2:4" x14ac:dyDescent="0.2">
      <c r="B20" s="8">
        <v>19</v>
      </c>
      <c r="C20" s="535" t="s">
        <v>354</v>
      </c>
      <c r="D20" s="78">
        <v>2600</v>
      </c>
    </row>
    <row r="21" spans="2:4" x14ac:dyDescent="0.2">
      <c r="B21" s="8">
        <v>20</v>
      </c>
      <c r="C21" s="535" t="s">
        <v>355</v>
      </c>
      <c r="D21" s="78">
        <v>5300</v>
      </c>
    </row>
    <row r="22" spans="2:4" x14ac:dyDescent="0.2">
      <c r="B22" s="8">
        <v>21</v>
      </c>
      <c r="C22" s="535" t="s">
        <v>356</v>
      </c>
      <c r="D22" s="78">
        <v>8400</v>
      </c>
    </row>
    <row r="23" spans="2:4" x14ac:dyDescent="0.2">
      <c r="B23" s="8">
        <v>22</v>
      </c>
      <c r="C23" s="535" t="s">
        <v>357</v>
      </c>
      <c r="D23" s="78">
        <v>10600</v>
      </c>
    </row>
    <row r="24" spans="2:4" x14ac:dyDescent="0.2">
      <c r="B24" s="8">
        <v>23</v>
      </c>
      <c r="C24" s="535" t="s">
        <v>358</v>
      </c>
      <c r="D24" s="78">
        <v>13200</v>
      </c>
    </row>
    <row r="25" spans="2:4" x14ac:dyDescent="0.2">
      <c r="B25" s="8">
        <v>24</v>
      </c>
      <c r="C25" s="535" t="s">
        <v>359</v>
      </c>
      <c r="D25" s="78">
        <v>16800</v>
      </c>
    </row>
    <row r="26" spans="2:4" x14ac:dyDescent="0.2">
      <c r="B26" s="8">
        <v>25</v>
      </c>
      <c r="C26" s="535" t="s">
        <v>367</v>
      </c>
      <c r="D26" s="78">
        <v>21200</v>
      </c>
    </row>
    <row r="27" spans="2:4" x14ac:dyDescent="0.2">
      <c r="B27" s="8">
        <v>26</v>
      </c>
      <c r="C27" s="535" t="s">
        <v>368</v>
      </c>
      <c r="D27" s="78">
        <v>25000</v>
      </c>
    </row>
    <row r="28" spans="2:4" x14ac:dyDescent="0.2">
      <c r="B28" s="8">
        <v>27</v>
      </c>
      <c r="C28" s="535" t="s">
        <v>383</v>
      </c>
      <c r="D28" s="78">
        <v>31000</v>
      </c>
    </row>
    <row r="29" spans="2:4" x14ac:dyDescent="0.2">
      <c r="B29" s="8">
        <v>28</v>
      </c>
      <c r="C29" s="535" t="s">
        <v>384</v>
      </c>
      <c r="D29" s="78">
        <v>40000</v>
      </c>
    </row>
    <row r="30" spans="2:4" x14ac:dyDescent="0.2">
      <c r="B30" s="8">
        <v>29</v>
      </c>
      <c r="C30" s="535" t="s">
        <v>385</v>
      </c>
      <c r="D30" s="78">
        <v>53000</v>
      </c>
    </row>
    <row r="31" spans="2:4" x14ac:dyDescent="0.2">
      <c r="B31" s="8">
        <v>30</v>
      </c>
      <c r="C31" s="535" t="s">
        <v>386</v>
      </c>
      <c r="D31" s="78">
        <v>66000</v>
      </c>
    </row>
    <row r="32" spans="2:4" x14ac:dyDescent="0.2">
      <c r="B32" s="8">
        <v>31</v>
      </c>
      <c r="C32" s="535" t="s">
        <v>387</v>
      </c>
      <c r="D32" s="78">
        <v>90000</v>
      </c>
    </row>
    <row r="33" spans="2:4" x14ac:dyDescent="0.2">
      <c r="B33" s="8">
        <v>32</v>
      </c>
      <c r="C33" s="535" t="s">
        <v>388</v>
      </c>
      <c r="D33" s="136">
        <v>1120</v>
      </c>
    </row>
    <row r="34" spans="2:4" x14ac:dyDescent="0.2">
      <c r="B34" s="8">
        <v>33</v>
      </c>
      <c r="C34" s="535" t="s">
        <v>389</v>
      </c>
      <c r="D34" s="136">
        <v>1740</v>
      </c>
    </row>
    <row r="35" spans="2:4" x14ac:dyDescent="0.2">
      <c r="B35" s="8">
        <v>34</v>
      </c>
      <c r="C35" s="535" t="s">
        <v>390</v>
      </c>
      <c r="D35" s="136">
        <v>2400</v>
      </c>
    </row>
    <row r="36" spans="2:4" x14ac:dyDescent="0.2">
      <c r="B36" s="8">
        <v>35</v>
      </c>
      <c r="C36" s="535" t="s">
        <v>391</v>
      </c>
      <c r="D36" s="136">
        <v>3400</v>
      </c>
    </row>
    <row r="37" spans="2:4" x14ac:dyDescent="0.2">
      <c r="B37" s="8">
        <v>36</v>
      </c>
      <c r="C37" s="535" t="s">
        <v>392</v>
      </c>
      <c r="D37" s="136">
        <v>4400</v>
      </c>
    </row>
    <row r="38" spans="2:4" x14ac:dyDescent="0.2">
      <c r="B38" s="8">
        <v>37</v>
      </c>
      <c r="C38" s="535" t="s">
        <v>393</v>
      </c>
      <c r="D38" s="136">
        <v>5400</v>
      </c>
    </row>
    <row r="39" spans="2:4" x14ac:dyDescent="0.2">
      <c r="B39" s="8">
        <v>38</v>
      </c>
      <c r="C39" s="535" t="s">
        <v>394</v>
      </c>
      <c r="D39" s="136">
        <v>6800</v>
      </c>
    </row>
    <row r="40" spans="2:4" x14ac:dyDescent="0.2">
      <c r="B40" s="8">
        <v>39</v>
      </c>
      <c r="C40" s="535" t="s">
        <v>395</v>
      </c>
      <c r="D40" s="136">
        <v>9800</v>
      </c>
    </row>
    <row r="41" spans="2:4" x14ac:dyDescent="0.2">
      <c r="B41" s="8">
        <v>40</v>
      </c>
      <c r="C41" s="535" t="s">
        <v>396</v>
      </c>
      <c r="D41" s="136">
        <v>13200</v>
      </c>
    </row>
    <row r="42" spans="2:4" x14ac:dyDescent="0.2">
      <c r="B42" s="8">
        <v>41</v>
      </c>
      <c r="C42" s="535" t="s">
        <v>397</v>
      </c>
      <c r="D42" s="136">
        <v>17000</v>
      </c>
    </row>
    <row r="43" spans="2:4" x14ac:dyDescent="0.2">
      <c r="B43" s="8">
        <v>42</v>
      </c>
      <c r="C43" s="535" t="s">
        <v>398</v>
      </c>
      <c r="D43" s="136">
        <v>20000</v>
      </c>
    </row>
    <row r="44" spans="2:4" x14ac:dyDescent="0.2">
      <c r="B44" s="8">
        <v>43</v>
      </c>
      <c r="C44" s="535" t="s">
        <v>399</v>
      </c>
      <c r="D44" s="136">
        <v>24000</v>
      </c>
    </row>
    <row r="45" spans="2:4" x14ac:dyDescent="0.2">
      <c r="B45" s="8">
        <v>44</v>
      </c>
      <c r="C45" s="535" t="s">
        <v>400</v>
      </c>
      <c r="D45" s="136">
        <v>30000</v>
      </c>
    </row>
    <row r="46" spans="2:4" x14ac:dyDescent="0.2">
      <c r="B46" s="8">
        <v>45</v>
      </c>
      <c r="C46" s="535" t="s">
        <v>401</v>
      </c>
      <c r="D46" s="136">
        <v>34000</v>
      </c>
    </row>
    <row r="47" spans="2:4" x14ac:dyDescent="0.2">
      <c r="B47" s="8">
        <v>46</v>
      </c>
      <c r="C47" s="535" t="s">
        <v>402</v>
      </c>
      <c r="D47" s="136">
        <v>40000</v>
      </c>
    </row>
    <row r="48" spans="2:4" x14ac:dyDescent="0.2">
      <c r="B48" s="8">
        <v>47</v>
      </c>
      <c r="C48" s="535" t="s">
        <v>403</v>
      </c>
      <c r="D48" s="136">
        <v>48000</v>
      </c>
    </row>
    <row r="49" spans="2:4" x14ac:dyDescent="0.2">
      <c r="B49" s="8">
        <v>48</v>
      </c>
      <c r="C49" s="535" t="s">
        <v>404</v>
      </c>
      <c r="D49" s="136">
        <v>60000</v>
      </c>
    </row>
    <row r="50" spans="2:4" x14ac:dyDescent="0.2">
      <c r="B50" s="8">
        <v>49</v>
      </c>
      <c r="C50" s="3" t="s">
        <v>316</v>
      </c>
      <c r="D50" s="536">
        <v>10000</v>
      </c>
    </row>
    <row r="51" spans="2:4" x14ac:dyDescent="0.2">
      <c r="B51" s="8">
        <v>50</v>
      </c>
      <c r="C51" s="3" t="s">
        <v>317</v>
      </c>
      <c r="D51" s="536">
        <v>15000</v>
      </c>
    </row>
    <row r="52" spans="2:4" x14ac:dyDescent="0.2">
      <c r="B52" s="8">
        <v>51</v>
      </c>
      <c r="C52" s="3" t="s">
        <v>318</v>
      </c>
      <c r="D52" s="536">
        <v>20000</v>
      </c>
    </row>
    <row r="53" spans="2:4" x14ac:dyDescent="0.2">
      <c r="B53" s="8">
        <v>52</v>
      </c>
      <c r="C53" s="3" t="s">
        <v>319</v>
      </c>
      <c r="D53" s="536">
        <v>25000</v>
      </c>
    </row>
    <row r="54" spans="2:4" x14ac:dyDescent="0.2">
      <c r="B54" s="8">
        <v>53</v>
      </c>
      <c r="C54" s="3" t="s">
        <v>320</v>
      </c>
      <c r="D54" s="536">
        <v>30000</v>
      </c>
    </row>
    <row r="55" spans="2:4" x14ac:dyDescent="0.2">
      <c r="B55" s="8">
        <v>54</v>
      </c>
      <c r="C55" s="3" t="s">
        <v>321</v>
      </c>
      <c r="D55" s="536">
        <v>40000</v>
      </c>
    </row>
    <row r="56" spans="2:4" x14ac:dyDescent="0.2">
      <c r="B56" s="8">
        <v>55</v>
      </c>
      <c r="C56" s="3" t="s">
        <v>322</v>
      </c>
      <c r="D56" s="536">
        <v>50000</v>
      </c>
    </row>
    <row r="57" spans="2:4" x14ac:dyDescent="0.2">
      <c r="B57" s="8">
        <v>56</v>
      </c>
      <c r="C57" s="3" t="s">
        <v>323</v>
      </c>
      <c r="D57" s="536">
        <v>60000</v>
      </c>
    </row>
    <row r="58" spans="2:4" x14ac:dyDescent="0.2">
      <c r="B58" s="8">
        <v>57</v>
      </c>
      <c r="C58" s="3" t="s">
        <v>324</v>
      </c>
      <c r="D58" s="536">
        <v>70000</v>
      </c>
    </row>
    <row r="59" spans="2:4" x14ac:dyDescent="0.2">
      <c r="B59" s="8">
        <v>58</v>
      </c>
      <c r="C59" s="3" t="s">
        <v>325</v>
      </c>
      <c r="D59" s="536">
        <v>85000</v>
      </c>
    </row>
    <row r="60" spans="2:4" x14ac:dyDescent="0.2">
      <c r="B60" s="8">
        <v>59</v>
      </c>
      <c r="C60" s="3" t="s">
        <v>326</v>
      </c>
      <c r="D60" s="536">
        <v>100000</v>
      </c>
    </row>
    <row r="61" spans="2:4" x14ac:dyDescent="0.2">
      <c r="B61" s="8">
        <v>60</v>
      </c>
      <c r="C61" s="3" t="s">
        <v>327</v>
      </c>
      <c r="D61" s="536">
        <v>125000</v>
      </c>
    </row>
    <row r="62" spans="2:4" x14ac:dyDescent="0.2">
      <c r="B62" s="8">
        <v>61</v>
      </c>
      <c r="C62" s="3" t="s">
        <v>328</v>
      </c>
      <c r="D62" s="536">
        <v>150000</v>
      </c>
    </row>
    <row r="63" spans="2:4" x14ac:dyDescent="0.2">
      <c r="B63" s="8">
        <v>62</v>
      </c>
      <c r="C63" s="3" t="s">
        <v>329</v>
      </c>
      <c r="D63" s="536">
        <v>175000</v>
      </c>
    </row>
    <row r="64" spans="2:4" x14ac:dyDescent="0.2">
      <c r="B64" s="8">
        <v>63</v>
      </c>
      <c r="C64" s="3" t="s">
        <v>330</v>
      </c>
      <c r="D64" s="536">
        <v>200000</v>
      </c>
    </row>
    <row r="65" spans="2:4" x14ac:dyDescent="0.2">
      <c r="B65" s="8">
        <v>64</v>
      </c>
      <c r="C65" s="3" t="s">
        <v>331</v>
      </c>
      <c r="D65" s="536">
        <v>250000</v>
      </c>
    </row>
    <row r="66" spans="2:4" x14ac:dyDescent="0.2">
      <c r="B66" s="8">
        <v>65</v>
      </c>
      <c r="C66" s="3" t="s">
        <v>334</v>
      </c>
      <c r="D66" s="536">
        <v>275000</v>
      </c>
    </row>
    <row r="67" spans="2:4" x14ac:dyDescent="0.2">
      <c r="B67" s="8">
        <v>66</v>
      </c>
      <c r="C67" s="3" t="s">
        <v>335</v>
      </c>
      <c r="D67" s="536">
        <v>300000</v>
      </c>
    </row>
    <row r="68" spans="2:4" x14ac:dyDescent="0.2">
      <c r="B68" s="8">
        <v>67</v>
      </c>
      <c r="C68" t="s">
        <v>1901</v>
      </c>
      <c r="D68" s="239">
        <v>2100</v>
      </c>
    </row>
    <row r="69" spans="2:4" x14ac:dyDescent="0.2">
      <c r="B69" s="8">
        <v>68</v>
      </c>
      <c r="C69" t="s">
        <v>1903</v>
      </c>
      <c r="D69" s="239">
        <v>3500</v>
      </c>
    </row>
    <row r="70" spans="2:4" x14ac:dyDescent="0.2">
      <c r="B70" s="8">
        <v>69</v>
      </c>
      <c r="C70" t="s">
        <v>1902</v>
      </c>
      <c r="D70" s="239">
        <v>4500</v>
      </c>
    </row>
    <row r="71" spans="2:4" x14ac:dyDescent="0.2">
      <c r="B71" s="8">
        <v>70</v>
      </c>
      <c r="C71" t="s">
        <v>1904</v>
      </c>
      <c r="D71" s="239">
        <v>7100</v>
      </c>
    </row>
    <row r="72" spans="2:4" x14ac:dyDescent="0.2">
      <c r="B72" s="8">
        <v>71</v>
      </c>
      <c r="C72" t="s">
        <v>1905</v>
      </c>
      <c r="D72" s="239">
        <v>12000</v>
      </c>
    </row>
    <row r="73" spans="2:4" x14ac:dyDescent="0.2">
      <c r="B73" s="8">
        <v>72</v>
      </c>
      <c r="C73" t="s">
        <v>1906</v>
      </c>
      <c r="D73" s="239">
        <v>18100</v>
      </c>
    </row>
    <row r="74" spans="2:4" x14ac:dyDescent="0.2">
      <c r="B74" s="8">
        <v>73</v>
      </c>
      <c r="C74" t="s">
        <v>1907</v>
      </c>
      <c r="D74" s="239">
        <v>28300</v>
      </c>
    </row>
    <row r="75" spans="2:4" x14ac:dyDescent="0.2">
      <c r="B75" s="8">
        <v>74</v>
      </c>
      <c r="C75" t="s">
        <v>1908</v>
      </c>
      <c r="D75" s="239">
        <v>34200</v>
      </c>
    </row>
    <row r="76" spans="2:4" x14ac:dyDescent="0.2">
      <c r="B76" s="8">
        <v>75</v>
      </c>
      <c r="C76" t="s">
        <v>1909</v>
      </c>
      <c r="D76" s="239">
        <v>47700</v>
      </c>
    </row>
    <row r="77" spans="2:4" x14ac:dyDescent="0.2">
      <c r="B77" s="8">
        <v>76</v>
      </c>
      <c r="C77" t="s">
        <v>1910</v>
      </c>
      <c r="D77" s="239">
        <v>72300</v>
      </c>
    </row>
    <row r="78" spans="2:4" x14ac:dyDescent="0.2">
      <c r="B78" s="8">
        <v>77</v>
      </c>
      <c r="C78" t="s">
        <v>1911</v>
      </c>
      <c r="D78" s="239">
        <v>2700</v>
      </c>
    </row>
    <row r="79" spans="2:4" x14ac:dyDescent="0.2">
      <c r="B79" s="8">
        <v>78</v>
      </c>
      <c r="C79" t="s">
        <v>1912</v>
      </c>
      <c r="D79" s="239">
        <v>4300</v>
      </c>
    </row>
    <row r="80" spans="2:4" x14ac:dyDescent="0.2">
      <c r="B80" s="8">
        <v>79</v>
      </c>
      <c r="C80" t="s">
        <v>1913</v>
      </c>
      <c r="D80" s="239">
        <v>5700</v>
      </c>
    </row>
    <row r="81" spans="2:11" x14ac:dyDescent="0.2">
      <c r="B81" s="8">
        <v>80</v>
      </c>
      <c r="C81" t="s">
        <v>1914</v>
      </c>
      <c r="D81" s="239">
        <v>8800</v>
      </c>
    </row>
    <row r="82" spans="2:11" x14ac:dyDescent="0.2">
      <c r="B82" s="8">
        <v>81</v>
      </c>
      <c r="C82" t="s">
        <v>1915</v>
      </c>
      <c r="D82" s="239">
        <v>15000</v>
      </c>
    </row>
    <row r="83" spans="2:11" x14ac:dyDescent="0.2">
      <c r="B83" s="8">
        <v>82</v>
      </c>
      <c r="C83" t="s">
        <v>1916</v>
      </c>
      <c r="D83" s="239">
        <v>22600</v>
      </c>
    </row>
    <row r="84" spans="2:11" x14ac:dyDescent="0.2">
      <c r="B84" s="8">
        <v>83</v>
      </c>
      <c r="C84" t="s">
        <v>1917</v>
      </c>
      <c r="D84" s="239">
        <v>35300</v>
      </c>
    </row>
    <row r="85" spans="2:11" x14ac:dyDescent="0.2">
      <c r="B85" s="8">
        <v>84</v>
      </c>
      <c r="C85" t="s">
        <v>1918</v>
      </c>
      <c r="D85" s="239">
        <v>42700</v>
      </c>
    </row>
    <row r="86" spans="2:11" x14ac:dyDescent="0.2">
      <c r="G86" s="993" t="s">
        <v>1935</v>
      </c>
      <c r="H86" s="993"/>
      <c r="I86" s="994" t="s">
        <v>1936</v>
      </c>
      <c r="J86" s="994"/>
      <c r="K86" s="173" t="s">
        <v>1940</v>
      </c>
    </row>
    <row r="87" spans="2:11" x14ac:dyDescent="0.2">
      <c r="C87" s="537" t="s">
        <v>1933</v>
      </c>
      <c r="D87" s="8" t="s">
        <v>1934</v>
      </c>
      <c r="E87" s="8" t="s">
        <v>1993</v>
      </c>
      <c r="F87" s="8" t="s">
        <v>1995</v>
      </c>
      <c r="G87" t="s">
        <v>1781</v>
      </c>
      <c r="H87" t="s">
        <v>90</v>
      </c>
      <c r="I87" s="173" t="s">
        <v>1781</v>
      </c>
      <c r="J87" s="173" t="s">
        <v>90</v>
      </c>
      <c r="K87" s="173" t="s">
        <v>1939</v>
      </c>
    </row>
    <row r="88" spans="2:11" x14ac:dyDescent="0.2">
      <c r="B88" s="8">
        <v>1</v>
      </c>
      <c r="C88" s="3" t="s">
        <v>1920</v>
      </c>
      <c r="D88" s="71">
        <v>2600</v>
      </c>
      <c r="E88" s="71">
        <v>2100</v>
      </c>
      <c r="F88" s="71">
        <f t="shared" ref="F88:F100" si="0">D88*2</f>
        <v>5200</v>
      </c>
      <c r="G88" s="459">
        <v>0.5</v>
      </c>
      <c r="H88" s="71">
        <v>1</v>
      </c>
      <c r="I88" s="641">
        <v>0.62</v>
      </c>
      <c r="J88" s="641">
        <v>1.25</v>
      </c>
      <c r="K88" s="643">
        <v>15.7</v>
      </c>
    </row>
    <row r="89" spans="2:11" x14ac:dyDescent="0.2">
      <c r="B89" s="642">
        <v>2</v>
      </c>
      <c r="C89" s="3" t="s">
        <v>1921</v>
      </c>
      <c r="D89" s="71">
        <v>5300</v>
      </c>
      <c r="E89" s="71">
        <v>4200</v>
      </c>
      <c r="F89" s="71">
        <f t="shared" si="0"/>
        <v>10600</v>
      </c>
      <c r="G89" s="459">
        <v>0.62</v>
      </c>
      <c r="H89" s="71">
        <v>1.25</v>
      </c>
      <c r="I89" s="641">
        <v>0.88</v>
      </c>
      <c r="J89" s="641">
        <v>1.75</v>
      </c>
      <c r="K89" s="643">
        <v>22.4</v>
      </c>
    </row>
    <row r="90" spans="2:11" x14ac:dyDescent="0.2">
      <c r="B90" s="8">
        <v>3</v>
      </c>
      <c r="C90" s="3" t="s">
        <v>1922</v>
      </c>
      <c r="D90" s="71">
        <v>8400</v>
      </c>
      <c r="E90" s="71">
        <v>6700</v>
      </c>
      <c r="F90" s="71">
        <f t="shared" si="0"/>
        <v>16800</v>
      </c>
      <c r="G90" s="459">
        <v>0.75</v>
      </c>
      <c r="H90" s="71">
        <v>1.62</v>
      </c>
      <c r="I90" s="641">
        <v>1</v>
      </c>
      <c r="J90" s="641">
        <v>2.25</v>
      </c>
      <c r="K90" s="643">
        <v>25.4</v>
      </c>
    </row>
    <row r="91" spans="2:11" x14ac:dyDescent="0.2">
      <c r="B91" s="642">
        <v>4</v>
      </c>
      <c r="C91" s="3" t="s">
        <v>1923</v>
      </c>
      <c r="D91" s="71">
        <v>10600</v>
      </c>
      <c r="E91" s="71">
        <v>8500</v>
      </c>
      <c r="F91" s="71">
        <f t="shared" si="0"/>
        <v>21200</v>
      </c>
      <c r="G91" s="459">
        <v>0.88</v>
      </c>
      <c r="H91" s="71">
        <v>1.75</v>
      </c>
      <c r="I91" s="641">
        <v>1.25</v>
      </c>
      <c r="J91" s="641">
        <v>2.5</v>
      </c>
      <c r="K91" s="643">
        <v>31.8</v>
      </c>
    </row>
    <row r="92" spans="2:11" x14ac:dyDescent="0.2">
      <c r="B92" s="8">
        <v>5</v>
      </c>
      <c r="C92" s="3" t="s">
        <v>1924</v>
      </c>
      <c r="D92" s="71">
        <v>13200</v>
      </c>
      <c r="E92" s="71">
        <v>10600</v>
      </c>
      <c r="F92" s="71">
        <f t="shared" si="0"/>
        <v>26400</v>
      </c>
      <c r="G92" s="459">
        <v>1</v>
      </c>
      <c r="H92" s="71">
        <v>2</v>
      </c>
      <c r="I92" s="641">
        <v>1.38</v>
      </c>
      <c r="J92" s="641">
        <v>2.75</v>
      </c>
      <c r="K92" s="643">
        <v>35.1</v>
      </c>
    </row>
    <row r="93" spans="2:11" x14ac:dyDescent="0.2">
      <c r="B93" s="642">
        <v>6</v>
      </c>
      <c r="C93" s="3" t="s">
        <v>1925</v>
      </c>
      <c r="D93" s="71">
        <v>16800</v>
      </c>
      <c r="E93" s="71">
        <v>13400</v>
      </c>
      <c r="F93" s="71">
        <f t="shared" si="0"/>
        <v>33600</v>
      </c>
      <c r="G93" s="459">
        <v>1.1200000000000001</v>
      </c>
      <c r="H93" s="71">
        <v>2.12</v>
      </c>
      <c r="I93" s="641">
        <v>1.62</v>
      </c>
      <c r="J93" s="641">
        <v>3</v>
      </c>
      <c r="K93" s="643">
        <v>41.1</v>
      </c>
    </row>
    <row r="94" spans="2:11" x14ac:dyDescent="0.2">
      <c r="B94" s="8">
        <v>7</v>
      </c>
      <c r="C94" s="3" t="s">
        <v>1926</v>
      </c>
      <c r="D94" s="71">
        <v>21200</v>
      </c>
      <c r="E94" s="71">
        <v>17000</v>
      </c>
      <c r="F94" s="71">
        <f t="shared" si="0"/>
        <v>42400</v>
      </c>
      <c r="G94" s="459">
        <v>1.25</v>
      </c>
      <c r="H94" s="71">
        <v>2.62</v>
      </c>
      <c r="I94" s="641">
        <v>1.75</v>
      </c>
      <c r="J94" s="641">
        <v>3.62</v>
      </c>
      <c r="K94" s="643">
        <v>44.5</v>
      </c>
    </row>
    <row r="95" spans="2:11" x14ac:dyDescent="0.2">
      <c r="B95" s="642">
        <v>8</v>
      </c>
      <c r="C95" s="3" t="s">
        <v>1927</v>
      </c>
      <c r="D95" s="71">
        <v>25000</v>
      </c>
      <c r="E95" s="71">
        <v>20000</v>
      </c>
      <c r="F95" s="71">
        <f t="shared" si="0"/>
        <v>50000</v>
      </c>
      <c r="G95" s="459">
        <v>1.25</v>
      </c>
      <c r="H95" s="71">
        <v>2.88</v>
      </c>
      <c r="I95" s="641">
        <v>1.88</v>
      </c>
      <c r="J95" s="641">
        <v>4</v>
      </c>
      <c r="K95" s="643">
        <v>47.8</v>
      </c>
    </row>
    <row r="96" spans="2:11" x14ac:dyDescent="0.2">
      <c r="B96" s="8">
        <v>9</v>
      </c>
      <c r="C96" s="3" t="s">
        <v>1928</v>
      </c>
      <c r="D96" s="71">
        <v>31000</v>
      </c>
      <c r="E96" s="71">
        <v>24800</v>
      </c>
      <c r="F96" s="71">
        <f t="shared" si="0"/>
        <v>62000</v>
      </c>
      <c r="G96" s="459">
        <v>1.5</v>
      </c>
      <c r="H96" s="71">
        <v>3.12</v>
      </c>
      <c r="I96" s="641">
        <v>2</v>
      </c>
      <c r="J96" s="641">
        <v>4.38</v>
      </c>
      <c r="K96" s="643">
        <v>50.8</v>
      </c>
    </row>
    <row r="97" spans="2:11" x14ac:dyDescent="0.2">
      <c r="B97" s="642">
        <v>10</v>
      </c>
      <c r="C97" s="3" t="s">
        <v>1929</v>
      </c>
      <c r="D97" s="71">
        <v>40000</v>
      </c>
      <c r="E97" s="71">
        <v>32000</v>
      </c>
      <c r="F97" s="71">
        <f t="shared" si="0"/>
        <v>80000</v>
      </c>
      <c r="G97" s="459">
        <v>1.62</v>
      </c>
      <c r="H97" s="71">
        <v>3.5</v>
      </c>
      <c r="I97" s="641">
        <v>2.38</v>
      </c>
      <c r="J97" s="641">
        <v>5</v>
      </c>
      <c r="K97" s="643">
        <v>60.5</v>
      </c>
    </row>
    <row r="98" spans="2:11" x14ac:dyDescent="0.2">
      <c r="B98" s="8">
        <v>11</v>
      </c>
      <c r="C98" s="3" t="s">
        <v>1930</v>
      </c>
      <c r="D98" s="71">
        <v>53000</v>
      </c>
      <c r="E98" s="71">
        <v>42400</v>
      </c>
      <c r="F98" s="71">
        <f t="shared" si="0"/>
        <v>106000</v>
      </c>
      <c r="G98" s="459">
        <v>1.88</v>
      </c>
      <c r="H98" s="71">
        <v>4</v>
      </c>
      <c r="I98" s="641">
        <v>2.75</v>
      </c>
      <c r="J98" s="641">
        <v>5.5</v>
      </c>
      <c r="K98" s="643">
        <v>69.900000000000006</v>
      </c>
    </row>
    <row r="99" spans="2:11" x14ac:dyDescent="0.2">
      <c r="B99" s="642">
        <v>12</v>
      </c>
      <c r="C99" s="3" t="s">
        <v>1931</v>
      </c>
      <c r="D99" s="71">
        <v>66000</v>
      </c>
      <c r="E99" s="71">
        <v>52800</v>
      </c>
      <c r="F99" s="71">
        <f t="shared" si="0"/>
        <v>132000</v>
      </c>
      <c r="G99" s="459">
        <v>2.12</v>
      </c>
      <c r="H99" s="71">
        <v>4.5</v>
      </c>
      <c r="I99" s="641">
        <v>3</v>
      </c>
      <c r="J99" s="641">
        <v>6.5</v>
      </c>
      <c r="K99" s="643">
        <v>76.2</v>
      </c>
    </row>
    <row r="100" spans="2:11" x14ac:dyDescent="0.2">
      <c r="B100" s="8">
        <v>13</v>
      </c>
      <c r="C100" s="3" t="s">
        <v>1932</v>
      </c>
      <c r="D100" s="71">
        <v>90000</v>
      </c>
      <c r="E100" s="71">
        <v>72000</v>
      </c>
      <c r="F100" s="71">
        <f t="shared" si="0"/>
        <v>180000</v>
      </c>
      <c r="G100" s="459">
        <v>2.5</v>
      </c>
      <c r="H100" s="71">
        <v>5.12</v>
      </c>
      <c r="I100" s="641">
        <v>3.5</v>
      </c>
      <c r="J100" s="641">
        <v>7.38</v>
      </c>
      <c r="K100" s="643">
        <v>88.9</v>
      </c>
    </row>
  </sheetData>
  <mergeCells count="2">
    <mergeCell ref="G86:H86"/>
    <mergeCell ref="I86:J86"/>
  </mergeCells>
  <phoneticPr fontId="15" type="noConversion"/>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Y126"/>
  <sheetViews>
    <sheetView topLeftCell="I50" workbookViewId="0">
      <selection activeCell="F54" sqref="F54"/>
    </sheetView>
  </sheetViews>
  <sheetFormatPr defaultRowHeight="12.75" x14ac:dyDescent="0.2"/>
  <cols>
    <col min="1" max="1" width="7.42578125" bestFit="1" customWidth="1"/>
    <col min="2" max="2" width="12.28515625" customWidth="1"/>
    <col min="3" max="3" width="36.85546875" customWidth="1"/>
    <col min="4" max="4" width="58.140625" bestFit="1" customWidth="1"/>
    <col min="5" max="5" width="11.7109375" customWidth="1"/>
    <col min="6" max="6" width="10.42578125" bestFit="1" customWidth="1"/>
    <col min="7" max="7" width="11.28515625" bestFit="1" customWidth="1"/>
    <col min="8" max="8" width="11.42578125" bestFit="1" customWidth="1"/>
    <col min="9" max="9" width="21" bestFit="1" customWidth="1"/>
    <col min="10" max="10" width="65.5703125" customWidth="1"/>
    <col min="11" max="11" width="4.28515625" customWidth="1"/>
    <col min="12" max="12" width="30.5703125" bestFit="1" customWidth="1"/>
    <col min="13" max="15" width="11.28515625" bestFit="1" customWidth="1"/>
    <col min="16" max="16" width="13" customWidth="1"/>
    <col min="17" max="17" width="15.42578125" bestFit="1" customWidth="1"/>
    <col min="18" max="18" width="17.85546875" bestFit="1" customWidth="1"/>
    <col min="19" max="19" width="24" bestFit="1" customWidth="1"/>
  </cols>
  <sheetData>
    <row r="1" spans="1:25" x14ac:dyDescent="0.2">
      <c r="B1" s="24" t="s">
        <v>2077</v>
      </c>
    </row>
    <row r="2" spans="1:25" ht="15" x14ac:dyDescent="0.2">
      <c r="E2" s="10"/>
      <c r="F2" s="11"/>
      <c r="G2" s="11"/>
      <c r="H2" s="11"/>
      <c r="I2" s="11"/>
      <c r="J2" s="11"/>
      <c r="K2" s="11"/>
      <c r="L2" s="11"/>
      <c r="M2" s="11"/>
      <c r="N2" s="11"/>
      <c r="O2" s="9"/>
      <c r="P2" s="9"/>
      <c r="Q2" s="9"/>
      <c r="R2" s="9"/>
      <c r="S2" s="9"/>
      <c r="T2" s="9"/>
      <c r="U2" s="9"/>
      <c r="V2" s="9"/>
      <c r="W2" s="9"/>
      <c r="X2" s="9"/>
      <c r="Y2" s="9"/>
    </row>
    <row r="3" spans="1:25" x14ac:dyDescent="0.2">
      <c r="E3" s="12"/>
      <c r="F3" s="13"/>
      <c r="G3" s="13"/>
      <c r="H3" s="13"/>
      <c r="I3" s="13"/>
      <c r="J3" s="13"/>
      <c r="K3" s="13"/>
      <c r="L3" s="13"/>
      <c r="M3" s="13"/>
      <c r="N3" s="13"/>
      <c r="O3" s="9"/>
      <c r="P3" s="9"/>
      <c r="Q3" s="9"/>
      <c r="R3" s="9"/>
      <c r="S3" s="9"/>
      <c r="T3" s="9"/>
      <c r="U3" s="9"/>
      <c r="V3" s="9"/>
      <c r="W3" s="9"/>
      <c r="X3" s="9"/>
      <c r="Y3" s="9"/>
    </row>
    <row r="4" spans="1:25" x14ac:dyDescent="0.2">
      <c r="B4" t="s">
        <v>2068</v>
      </c>
      <c r="F4" s="21"/>
      <c r="G4" s="21"/>
      <c r="H4" s="21"/>
      <c r="I4" s="14"/>
      <c r="J4" s="14"/>
      <c r="K4" s="14"/>
      <c r="L4" s="14"/>
      <c r="M4" s="14"/>
      <c r="N4" s="14"/>
      <c r="O4" s="9"/>
      <c r="P4" s="9"/>
      <c r="Q4" s="9"/>
      <c r="R4" s="9"/>
      <c r="S4" s="9"/>
      <c r="T4" s="9"/>
      <c r="U4" s="9"/>
      <c r="V4" s="9"/>
      <c r="W4" s="9"/>
      <c r="X4" s="9"/>
      <c r="Y4" s="9"/>
    </row>
    <row r="5" spans="1:25" x14ac:dyDescent="0.2">
      <c r="A5">
        <v>1</v>
      </c>
      <c r="B5" t="s">
        <v>2069</v>
      </c>
      <c r="F5" s="21"/>
      <c r="G5" s="21"/>
      <c r="H5" s="21"/>
      <c r="I5" s="16"/>
      <c r="J5" s="16"/>
      <c r="K5" s="16"/>
      <c r="L5" s="16"/>
      <c r="M5" s="16"/>
      <c r="N5" s="16"/>
      <c r="O5" s="9"/>
      <c r="P5" s="9"/>
      <c r="Q5" s="9"/>
      <c r="R5" s="9"/>
      <c r="S5" s="9"/>
      <c r="T5" s="9"/>
      <c r="U5" s="9"/>
      <c r="V5" s="9"/>
      <c r="W5" s="9"/>
      <c r="X5" s="9"/>
      <c r="Y5" s="9"/>
    </row>
    <row r="6" spans="1:25" x14ac:dyDescent="0.2">
      <c r="A6">
        <v>2</v>
      </c>
      <c r="B6" t="s">
        <v>2070</v>
      </c>
      <c r="C6" s="227" t="s">
        <v>494</v>
      </c>
      <c r="D6" s="227"/>
      <c r="E6" s="227"/>
      <c r="F6" s="228"/>
      <c r="G6" s="228"/>
      <c r="H6" s="228"/>
      <c r="I6" s="16"/>
      <c r="J6" s="16"/>
      <c r="K6" s="16"/>
      <c r="L6" s="16"/>
      <c r="M6" s="16"/>
      <c r="N6" s="16"/>
      <c r="O6" s="9"/>
      <c r="P6" s="9"/>
      <c r="Q6" s="9"/>
      <c r="R6" s="9"/>
      <c r="S6" s="9"/>
      <c r="T6" s="9"/>
      <c r="U6" s="9"/>
      <c r="V6" s="9"/>
      <c r="W6" s="9"/>
      <c r="X6" s="9"/>
      <c r="Y6" s="9"/>
    </row>
    <row r="7" spans="1:25" x14ac:dyDescent="0.2">
      <c r="A7">
        <v>3</v>
      </c>
      <c r="B7" t="s">
        <v>2071</v>
      </c>
      <c r="F7" s="21"/>
      <c r="G7" s="21"/>
      <c r="H7" s="21"/>
      <c r="I7" s="16"/>
      <c r="J7" s="16"/>
      <c r="K7" s="16"/>
      <c r="L7" s="16"/>
      <c r="M7" s="16"/>
      <c r="N7" s="16"/>
      <c r="O7" s="9"/>
      <c r="P7" s="9"/>
      <c r="Q7" s="9"/>
      <c r="R7" s="9"/>
      <c r="S7" s="9"/>
      <c r="T7" s="9"/>
      <c r="U7" s="9"/>
      <c r="V7" s="9"/>
      <c r="W7" s="9"/>
      <c r="X7" s="9"/>
      <c r="Y7" s="9"/>
    </row>
    <row r="8" spans="1:25" x14ac:dyDescent="0.2">
      <c r="I8" s="12"/>
      <c r="J8" s="12"/>
      <c r="K8" s="12"/>
      <c r="L8" s="12"/>
      <c r="M8" s="12"/>
      <c r="N8" s="12"/>
      <c r="O8" s="9"/>
      <c r="P8" s="9"/>
      <c r="Q8" s="9"/>
      <c r="R8" s="9"/>
      <c r="S8" s="9"/>
      <c r="T8" s="9"/>
      <c r="U8" s="9"/>
      <c r="V8" s="9"/>
      <c r="W8" s="9"/>
      <c r="X8" s="9"/>
      <c r="Y8" s="9"/>
    </row>
    <row r="9" spans="1:25" ht="15" x14ac:dyDescent="0.2">
      <c r="E9" s="17"/>
      <c r="F9" s="18"/>
      <c r="G9" s="18"/>
      <c r="H9" s="18"/>
      <c r="I9" s="12"/>
      <c r="J9" s="12"/>
      <c r="K9" s="12"/>
      <c r="L9" s="12"/>
      <c r="M9" s="12"/>
      <c r="N9" s="12"/>
      <c r="O9" s="9"/>
      <c r="P9" s="9"/>
      <c r="Q9" s="9"/>
      <c r="R9" s="9"/>
      <c r="S9" s="9"/>
      <c r="T9" s="9"/>
      <c r="U9" s="9"/>
      <c r="V9" s="9"/>
      <c r="W9" s="9"/>
      <c r="X9" s="9"/>
      <c r="Y9" s="9"/>
    </row>
    <row r="10" spans="1:25" x14ac:dyDescent="0.2">
      <c r="E10" s="12"/>
      <c r="F10" s="13"/>
      <c r="G10" s="13"/>
      <c r="H10" s="13"/>
      <c r="I10" s="12"/>
      <c r="J10" s="12"/>
      <c r="K10" s="12"/>
      <c r="L10" s="12"/>
      <c r="M10" s="12"/>
      <c r="N10" s="12"/>
      <c r="O10" s="9"/>
      <c r="P10" s="9"/>
      <c r="Q10" s="9"/>
      <c r="R10" s="9"/>
      <c r="S10" s="9"/>
      <c r="T10" s="9"/>
      <c r="U10" s="9"/>
      <c r="V10" s="9"/>
      <c r="W10" s="9"/>
      <c r="X10" s="9"/>
      <c r="Y10" s="9"/>
    </row>
    <row r="11" spans="1:25" x14ac:dyDescent="0.2">
      <c r="E11" s="12"/>
      <c r="F11" s="19"/>
      <c r="G11" s="19"/>
      <c r="H11" s="19"/>
      <c r="I11" s="12"/>
      <c r="J11" s="12"/>
      <c r="K11" s="12"/>
      <c r="L11" s="12"/>
      <c r="M11" s="12"/>
      <c r="N11" s="12"/>
      <c r="O11" s="9"/>
      <c r="P11" s="9"/>
      <c r="Q11" s="9"/>
      <c r="R11" s="9"/>
      <c r="S11" s="9"/>
      <c r="T11" s="9"/>
      <c r="U11" s="9"/>
      <c r="V11" s="9"/>
      <c r="W11" s="9"/>
      <c r="X11" s="9"/>
      <c r="Y11" s="9"/>
    </row>
    <row r="12" spans="1:25" x14ac:dyDescent="0.2">
      <c r="E12" s="15"/>
      <c r="F12" s="20"/>
      <c r="G12" s="20"/>
      <c r="H12" s="20"/>
      <c r="I12" s="12"/>
      <c r="J12" s="12"/>
      <c r="K12" s="12"/>
      <c r="L12" s="12"/>
      <c r="M12" s="12"/>
      <c r="N12" s="12"/>
      <c r="O12" s="9"/>
      <c r="P12" s="9"/>
      <c r="Q12" s="9"/>
      <c r="R12" s="9"/>
      <c r="S12" s="9"/>
      <c r="T12" s="9"/>
      <c r="U12" s="9"/>
      <c r="V12" s="9"/>
      <c r="W12" s="9"/>
      <c r="X12" s="9"/>
      <c r="Y12" s="9"/>
    </row>
    <row r="13" spans="1:25" x14ac:dyDescent="0.2">
      <c r="E13" s="15"/>
      <c r="F13" s="20"/>
      <c r="G13" s="20"/>
      <c r="H13" s="20"/>
      <c r="I13" s="12"/>
      <c r="J13" s="12"/>
      <c r="K13" s="12"/>
      <c r="L13" s="12"/>
      <c r="M13" s="12"/>
      <c r="N13" s="12"/>
      <c r="O13" s="9"/>
      <c r="P13" s="9"/>
      <c r="Q13" s="9"/>
      <c r="R13" s="9"/>
      <c r="S13" s="9"/>
      <c r="T13" s="9"/>
      <c r="U13" s="9"/>
      <c r="V13" s="9"/>
      <c r="W13" s="9"/>
      <c r="X13" s="9"/>
      <c r="Y13" s="9"/>
    </row>
    <row r="14" spans="1:25" x14ac:dyDescent="0.2">
      <c r="E14" s="15"/>
      <c r="F14" s="20"/>
      <c r="G14" s="20"/>
      <c r="H14" s="20"/>
      <c r="I14" s="12"/>
      <c r="J14" s="12"/>
      <c r="K14" s="12"/>
      <c r="L14" s="12"/>
      <c r="M14" s="12"/>
      <c r="N14" s="12"/>
      <c r="O14" s="9"/>
      <c r="P14" s="9"/>
      <c r="Q14" s="9"/>
      <c r="R14" s="9"/>
      <c r="S14" s="9"/>
      <c r="T14" s="9"/>
      <c r="U14" s="9"/>
      <c r="V14" s="9"/>
      <c r="W14" s="9"/>
      <c r="X14" s="9"/>
      <c r="Y14" s="9"/>
    </row>
    <row r="15" spans="1:25" x14ac:dyDescent="0.2">
      <c r="E15" s="9"/>
      <c r="F15" s="20"/>
      <c r="G15" s="20"/>
      <c r="H15" s="20"/>
      <c r="I15" s="9"/>
      <c r="J15" s="9"/>
      <c r="K15" s="9"/>
      <c r="L15" s="9"/>
      <c r="M15" s="9"/>
      <c r="N15" s="9"/>
      <c r="O15" s="9"/>
      <c r="P15" s="9"/>
      <c r="Q15" s="9"/>
      <c r="R15" s="9"/>
      <c r="S15" s="9"/>
      <c r="T15" s="9"/>
      <c r="U15" s="9"/>
      <c r="V15" s="9"/>
      <c r="W15" s="9"/>
      <c r="X15" s="9"/>
      <c r="Y15" s="9"/>
    </row>
    <row r="16" spans="1:25" x14ac:dyDescent="0.2">
      <c r="F16" s="21"/>
      <c r="G16" s="21"/>
      <c r="H16" s="21"/>
    </row>
    <row r="22" spans="1:18" ht="15.75" x14ac:dyDescent="0.25">
      <c r="H22" s="8" t="s">
        <v>62</v>
      </c>
      <c r="L22" s="999" t="s">
        <v>560</v>
      </c>
      <c r="M22" s="999"/>
      <c r="N22" s="999"/>
      <c r="O22" s="999"/>
      <c r="P22" s="999"/>
      <c r="R22" s="7" t="s">
        <v>1027</v>
      </c>
    </row>
    <row r="23" spans="1:18" x14ac:dyDescent="0.2">
      <c r="A23" s="22" t="s">
        <v>2072</v>
      </c>
      <c r="B23" s="22" t="s">
        <v>661</v>
      </c>
      <c r="C23" s="22" t="s">
        <v>2073</v>
      </c>
      <c r="D23" s="22" t="s">
        <v>2130</v>
      </c>
      <c r="E23" s="22" t="s">
        <v>2058</v>
      </c>
      <c r="F23" s="22" t="s">
        <v>2059</v>
      </c>
      <c r="G23" s="22" t="s">
        <v>2060</v>
      </c>
      <c r="H23" s="22" t="s">
        <v>11</v>
      </c>
      <c r="L23" s="238" t="s">
        <v>2130</v>
      </c>
      <c r="M23" s="238" t="s">
        <v>2058</v>
      </c>
      <c r="N23" s="238" t="s">
        <v>2059</v>
      </c>
      <c r="O23" s="238" t="s">
        <v>2060</v>
      </c>
      <c r="P23" s="238" t="s">
        <v>11</v>
      </c>
      <c r="R23" s="7"/>
    </row>
    <row r="24" spans="1:18" x14ac:dyDescent="0.2">
      <c r="A24" s="3">
        <v>1</v>
      </c>
      <c r="B24" s="234"/>
      <c r="C24" s="1000" t="s">
        <v>515</v>
      </c>
      <c r="D24" s="1000"/>
      <c r="E24" s="234"/>
      <c r="F24" s="234"/>
      <c r="G24" s="234"/>
      <c r="J24" s="233" t="str">
        <f>C24</f>
        <v>Nylon Web Slings - Eye and Eye - Types 3 &amp; 4 - ONE PLY</v>
      </c>
      <c r="R24" s="7"/>
    </row>
    <row r="25" spans="1:18" x14ac:dyDescent="0.2">
      <c r="A25" s="3">
        <v>2</v>
      </c>
      <c r="B25" s="229" t="s">
        <v>495</v>
      </c>
      <c r="C25" s="3" t="s">
        <v>662</v>
      </c>
      <c r="D25" s="3" t="str">
        <f t="shared" ref="D25:D33" si="0">CONCATENATE(C25," Vertical WLL: ",E25," lbs")</f>
        <v>1" (25mm) NYLON WEB, 1 ply (E-E) Vertical WLL: 1600 lbs</v>
      </c>
      <c r="E25" s="230">
        <v>1600</v>
      </c>
      <c r="F25" s="230">
        <v>1250</v>
      </c>
      <c r="G25" s="230">
        <v>3200</v>
      </c>
      <c r="H25" s="3">
        <v>2</v>
      </c>
      <c r="J25" t="str">
        <f t="shared" ref="J25:J33" si="1">CONCATENATE(C25," Choker rating: ",F25," lbs")</f>
        <v>1" (25mm) NYLON WEB, 1 ply (E-E) Choker rating: 1250 lbs</v>
      </c>
      <c r="L25" s="3" t="s">
        <v>551</v>
      </c>
      <c r="M25" s="239">
        <v>725</v>
      </c>
      <c r="N25" s="239">
        <f t="shared" ref="N25:N33" si="2">M25*0.8</f>
        <v>580</v>
      </c>
      <c r="O25" s="239">
        <f t="shared" ref="O25:O33" si="3">M25*2</f>
        <v>1450</v>
      </c>
      <c r="P25">
        <v>51</v>
      </c>
      <c r="R25" s="7" t="s">
        <v>1028</v>
      </c>
    </row>
    <row r="26" spans="1:18" x14ac:dyDescent="0.2">
      <c r="A26" s="3">
        <v>3</v>
      </c>
      <c r="B26" s="229" t="s">
        <v>496</v>
      </c>
      <c r="C26" s="3" t="s">
        <v>663</v>
      </c>
      <c r="D26" s="3" t="str">
        <f t="shared" si="0"/>
        <v>2" (51mm) NYLON WEB, 1 ply (E-E) Vertical WLL: 3200 lbs</v>
      </c>
      <c r="E26" s="230">
        <v>3200</v>
      </c>
      <c r="F26" s="230">
        <v>2500</v>
      </c>
      <c r="G26" s="230">
        <v>6400</v>
      </c>
      <c r="H26" s="3">
        <v>2</v>
      </c>
      <c r="J26" t="str">
        <f t="shared" si="1"/>
        <v>2" (51mm) NYLON WEB, 1 ply (E-E) Choker rating: 2500 lbs</v>
      </c>
      <c r="L26" s="3" t="s">
        <v>552</v>
      </c>
      <c r="M26" s="239">
        <v>1400</v>
      </c>
      <c r="N26" s="239">
        <f t="shared" si="2"/>
        <v>1120</v>
      </c>
      <c r="O26" s="239">
        <f t="shared" si="3"/>
        <v>2800</v>
      </c>
      <c r="P26">
        <v>51</v>
      </c>
      <c r="R26" s="7" t="s">
        <v>1028</v>
      </c>
    </row>
    <row r="27" spans="1:18" x14ac:dyDescent="0.2">
      <c r="A27" s="3">
        <v>4</v>
      </c>
      <c r="B27" s="229" t="s">
        <v>497</v>
      </c>
      <c r="C27" s="3" t="s">
        <v>664</v>
      </c>
      <c r="D27" s="3" t="str">
        <f t="shared" si="0"/>
        <v>3" (76mm) NYLON WEB, 1 ply (E-E) Vertical WLL: 4800 lbs</v>
      </c>
      <c r="E27" s="230">
        <v>4800</v>
      </c>
      <c r="F27" s="230">
        <v>3800</v>
      </c>
      <c r="G27" s="230">
        <v>9600</v>
      </c>
      <c r="H27" s="3">
        <v>3.75</v>
      </c>
      <c r="J27" t="str">
        <f t="shared" si="1"/>
        <v>3" (76mm) NYLON WEB, 1 ply (E-E) Choker rating: 3800 lbs</v>
      </c>
      <c r="L27" s="3" t="s">
        <v>553</v>
      </c>
      <c r="M27" s="239">
        <v>2125</v>
      </c>
      <c r="N27" s="239">
        <f t="shared" si="2"/>
        <v>1700</v>
      </c>
      <c r="O27" s="239">
        <f t="shared" si="3"/>
        <v>4250</v>
      </c>
      <c r="P27">
        <v>96</v>
      </c>
      <c r="R27" s="7" t="s">
        <v>1028</v>
      </c>
    </row>
    <row r="28" spans="1:18" x14ac:dyDescent="0.2">
      <c r="A28" s="3">
        <v>5</v>
      </c>
      <c r="B28" s="229" t="s">
        <v>498</v>
      </c>
      <c r="C28" s="3" t="s">
        <v>665</v>
      </c>
      <c r="D28" s="3" t="str">
        <f t="shared" si="0"/>
        <v>4" (102mm) NYLON WEB, 1 ply (E-E) Vertical WLL: 6400 lbs</v>
      </c>
      <c r="E28" s="230">
        <v>6400</v>
      </c>
      <c r="F28" s="230">
        <v>5000</v>
      </c>
      <c r="G28" s="230">
        <v>12800</v>
      </c>
      <c r="H28" s="3">
        <v>3.75</v>
      </c>
      <c r="J28" t="str">
        <f t="shared" si="1"/>
        <v>4" (102mm) NYLON WEB, 1 ply (E-E) Choker rating: 5000 lbs</v>
      </c>
      <c r="L28" s="3" t="s">
        <v>554</v>
      </c>
      <c r="M28" s="239">
        <v>2800</v>
      </c>
      <c r="N28" s="239">
        <f t="shared" si="2"/>
        <v>2240</v>
      </c>
      <c r="O28" s="239">
        <f t="shared" si="3"/>
        <v>5600</v>
      </c>
      <c r="P28">
        <v>96</v>
      </c>
      <c r="R28" s="7" t="s">
        <v>1028</v>
      </c>
    </row>
    <row r="29" spans="1:18" x14ac:dyDescent="0.2">
      <c r="A29" s="3">
        <v>6</v>
      </c>
      <c r="B29" s="229" t="s">
        <v>499</v>
      </c>
      <c r="C29" s="3" t="s">
        <v>666</v>
      </c>
      <c r="D29" s="3" t="str">
        <f t="shared" si="0"/>
        <v>5" (127mm) NYLON WEB, 1 ply (E-E) Vertical WLL: 8000 lbs</v>
      </c>
      <c r="E29" s="230">
        <v>8000</v>
      </c>
      <c r="F29" s="230">
        <v>6400</v>
      </c>
      <c r="G29" s="230">
        <v>16000</v>
      </c>
      <c r="H29" s="3">
        <v>3.75</v>
      </c>
      <c r="J29" t="str">
        <f t="shared" si="1"/>
        <v>5" (127mm) NYLON WEB, 1 ply (E-E) Choker rating: 6400 lbs</v>
      </c>
      <c r="L29" s="3" t="s">
        <v>555</v>
      </c>
      <c r="M29" s="239">
        <v>3500</v>
      </c>
      <c r="N29" s="239">
        <f t="shared" si="2"/>
        <v>2800</v>
      </c>
      <c r="O29" s="239">
        <f t="shared" si="3"/>
        <v>7000</v>
      </c>
      <c r="P29">
        <v>96</v>
      </c>
      <c r="R29" s="7" t="s">
        <v>1028</v>
      </c>
    </row>
    <row r="30" spans="1:18" x14ac:dyDescent="0.2">
      <c r="A30" s="3">
        <v>7</v>
      </c>
      <c r="B30" s="229" t="s">
        <v>500</v>
      </c>
      <c r="C30" s="3" t="s">
        <v>667</v>
      </c>
      <c r="D30" s="3" t="str">
        <f t="shared" si="0"/>
        <v>6" (152mm) NYLON WEB, 1 ply (E-E) Vertical WLL: 9600 lbs</v>
      </c>
      <c r="E30" s="230">
        <v>9600</v>
      </c>
      <c r="F30" s="230">
        <v>7700</v>
      </c>
      <c r="G30" s="230">
        <v>19200</v>
      </c>
      <c r="H30" s="3">
        <v>3.75</v>
      </c>
      <c r="J30" t="str">
        <f t="shared" si="1"/>
        <v>6" (152mm) NYLON WEB, 1 ply (E-E) Choker rating: 7700 lbs</v>
      </c>
      <c r="L30" s="3" t="s">
        <v>556</v>
      </c>
      <c r="M30" s="239">
        <v>4200</v>
      </c>
      <c r="N30" s="239">
        <f t="shared" si="2"/>
        <v>3360</v>
      </c>
      <c r="O30" s="239">
        <f t="shared" si="3"/>
        <v>8400</v>
      </c>
      <c r="P30">
        <v>96</v>
      </c>
      <c r="R30" s="7" t="s">
        <v>1028</v>
      </c>
    </row>
    <row r="31" spans="1:18" x14ac:dyDescent="0.2">
      <c r="A31" s="3">
        <v>8</v>
      </c>
      <c r="B31" s="229" t="s">
        <v>501</v>
      </c>
      <c r="C31" s="3" t="s">
        <v>668</v>
      </c>
      <c r="D31" s="3" t="str">
        <f t="shared" si="0"/>
        <v>8" (203mm) NYLON WEB, 1 ply (E-E) Vertical WLL: 12800 lbs</v>
      </c>
      <c r="E31" s="230">
        <v>12800</v>
      </c>
      <c r="F31" s="230">
        <v>10200</v>
      </c>
      <c r="G31" s="230">
        <v>25600</v>
      </c>
      <c r="H31" s="3">
        <v>4.5</v>
      </c>
      <c r="J31" t="str">
        <f t="shared" si="1"/>
        <v>8" (203mm) NYLON WEB, 1 ply (E-E) Choker rating: 10200 lbs</v>
      </c>
      <c r="L31" s="3" t="s">
        <v>557</v>
      </c>
      <c r="M31" s="239">
        <v>5350</v>
      </c>
      <c r="N31" s="239">
        <f t="shared" si="2"/>
        <v>4280</v>
      </c>
      <c r="O31" s="239">
        <f t="shared" si="3"/>
        <v>10700</v>
      </c>
      <c r="P31">
        <v>115</v>
      </c>
      <c r="R31" s="7" t="s">
        <v>1028</v>
      </c>
    </row>
    <row r="32" spans="1:18" x14ac:dyDescent="0.2">
      <c r="A32" s="3">
        <v>9</v>
      </c>
      <c r="B32" s="229" t="s">
        <v>502</v>
      </c>
      <c r="C32" s="3" t="s">
        <v>669</v>
      </c>
      <c r="D32" s="3" t="str">
        <f t="shared" si="0"/>
        <v>10" (254mm) NYLON WEB, 1 ply (E-E) Vertical WLL: 16000 lbs</v>
      </c>
      <c r="E32" s="230">
        <v>16000</v>
      </c>
      <c r="F32" s="230">
        <v>12800</v>
      </c>
      <c r="G32" s="230">
        <v>32000</v>
      </c>
      <c r="H32" s="3">
        <v>4.5</v>
      </c>
      <c r="J32" t="str">
        <f t="shared" si="1"/>
        <v>10" (254mm) NYLON WEB, 1 ply (E-E) Choker rating: 12800 lbs</v>
      </c>
      <c r="L32" s="3" t="s">
        <v>558</v>
      </c>
      <c r="M32" s="239">
        <v>6650</v>
      </c>
      <c r="N32" s="239">
        <f t="shared" si="2"/>
        <v>5320</v>
      </c>
      <c r="O32" s="239">
        <f t="shared" si="3"/>
        <v>13300</v>
      </c>
      <c r="P32">
        <v>115</v>
      </c>
      <c r="R32" s="7" t="s">
        <v>1028</v>
      </c>
    </row>
    <row r="33" spans="1:18" x14ac:dyDescent="0.2">
      <c r="A33" s="3">
        <v>10</v>
      </c>
      <c r="B33" s="229" t="s">
        <v>503</v>
      </c>
      <c r="C33" s="3" t="s">
        <v>670</v>
      </c>
      <c r="D33" s="3" t="str">
        <f t="shared" si="0"/>
        <v>12" (305mm) NYLON WEB, 1 ply (E-E) Vertical WLL: 19200 lbs</v>
      </c>
      <c r="E33" s="230">
        <v>19200</v>
      </c>
      <c r="F33" s="230">
        <v>15400</v>
      </c>
      <c r="G33" s="230">
        <v>38400</v>
      </c>
      <c r="H33" s="3">
        <v>4.5</v>
      </c>
      <c r="J33" t="str">
        <f t="shared" si="1"/>
        <v>12" (305mm) NYLON WEB, 1 ply (E-E) Choker rating: 15400 lbs</v>
      </c>
      <c r="L33" s="3" t="s">
        <v>559</v>
      </c>
      <c r="M33" s="239">
        <v>8000</v>
      </c>
      <c r="N33" s="239">
        <f t="shared" si="2"/>
        <v>6400</v>
      </c>
      <c r="O33" s="239">
        <f t="shared" si="3"/>
        <v>16000</v>
      </c>
      <c r="P33">
        <v>115</v>
      </c>
      <c r="R33" s="7" t="s">
        <v>1028</v>
      </c>
    </row>
    <row r="34" spans="1:18" x14ac:dyDescent="0.2">
      <c r="A34" s="3">
        <v>11</v>
      </c>
      <c r="B34" s="149"/>
      <c r="C34" s="998" t="s">
        <v>513</v>
      </c>
      <c r="D34" s="998"/>
      <c r="E34" s="234"/>
      <c r="F34" s="234"/>
      <c r="G34" s="234"/>
      <c r="H34" s="234"/>
      <c r="I34" s="234"/>
      <c r="J34" s="233" t="str">
        <f>C34</f>
        <v>Nylon Web Slings - Eye and Eye - Types 3 &amp; 4 - TWO PLY</v>
      </c>
      <c r="L34" s="241"/>
      <c r="M34" s="241"/>
      <c r="N34" s="242"/>
      <c r="O34" s="242"/>
      <c r="R34" s="7" t="s">
        <v>1028</v>
      </c>
    </row>
    <row r="35" spans="1:18" x14ac:dyDescent="0.2">
      <c r="A35" s="3">
        <v>12</v>
      </c>
      <c r="B35" s="229" t="s">
        <v>2110</v>
      </c>
      <c r="C35" s="3" t="s">
        <v>671</v>
      </c>
      <c r="D35" s="3" t="str">
        <f t="shared" ref="D35:D43" si="4">CONCATENATE(C35," Vertical WLL: ",E35," lbs")</f>
        <v>1" (25mm) NYLON WEB, 2 ply (E-E) Vertical WLL: 3200 lbs</v>
      </c>
      <c r="E35" s="230">
        <v>3200</v>
      </c>
      <c r="F35" s="230">
        <v>2500</v>
      </c>
      <c r="G35" s="230">
        <v>6400</v>
      </c>
      <c r="H35" s="3">
        <v>2</v>
      </c>
      <c r="J35" t="str">
        <f t="shared" ref="J35:J43" si="5">CONCATENATE(C35," Choker rating: ",F35," lbs")</f>
        <v>1" (25mm) NYLON WEB, 2 ply (E-E) Choker rating: 2500 lbs</v>
      </c>
      <c r="L35" s="3" t="s">
        <v>561</v>
      </c>
      <c r="M35" s="240">
        <v>1400</v>
      </c>
      <c r="N35" s="239">
        <f t="shared" ref="N35:N43" si="6">M35*0.8</f>
        <v>1120</v>
      </c>
      <c r="O35" s="239">
        <f t="shared" ref="O35:O43" si="7">M35*2</f>
        <v>2800</v>
      </c>
      <c r="P35">
        <v>51</v>
      </c>
      <c r="R35" s="7" t="s">
        <v>1028</v>
      </c>
    </row>
    <row r="36" spans="1:18" x14ac:dyDescent="0.2">
      <c r="A36" s="3">
        <v>13</v>
      </c>
      <c r="B36" s="229" t="s">
        <v>2111</v>
      </c>
      <c r="C36" s="3" t="s">
        <v>672</v>
      </c>
      <c r="D36" s="3" t="str">
        <f t="shared" si="4"/>
        <v>2" (51mm) NYLON WEB, 2 ply (E-E) Vertical WLL: 6400 lbs</v>
      </c>
      <c r="E36" s="230">
        <v>6400</v>
      </c>
      <c r="F36" s="230">
        <v>5000</v>
      </c>
      <c r="G36" s="230">
        <v>12800</v>
      </c>
      <c r="H36" s="3">
        <v>2</v>
      </c>
      <c r="J36" t="str">
        <f t="shared" si="5"/>
        <v>2" (51mm) NYLON WEB, 2 ply (E-E) Choker rating: 5000 lbs</v>
      </c>
      <c r="L36" s="3" t="s">
        <v>562</v>
      </c>
      <c r="M36" s="240">
        <v>2800</v>
      </c>
      <c r="N36" s="239">
        <f t="shared" si="6"/>
        <v>2240</v>
      </c>
      <c r="O36" s="239">
        <f t="shared" si="7"/>
        <v>5600</v>
      </c>
      <c r="P36">
        <v>51</v>
      </c>
      <c r="R36" s="7" t="s">
        <v>1028</v>
      </c>
    </row>
    <row r="37" spans="1:18" x14ac:dyDescent="0.2">
      <c r="A37" s="3">
        <v>14</v>
      </c>
      <c r="B37" s="229" t="s">
        <v>2112</v>
      </c>
      <c r="C37" s="3" t="s">
        <v>673</v>
      </c>
      <c r="D37" s="3" t="str">
        <f t="shared" si="4"/>
        <v>3" (76mm) NYLON WEB, 2 ply (E-E) Vertical WLL: 8600 lbs</v>
      </c>
      <c r="E37" s="230">
        <v>8600</v>
      </c>
      <c r="F37" s="230">
        <v>6900</v>
      </c>
      <c r="G37" s="230">
        <v>17200</v>
      </c>
      <c r="H37" s="3">
        <v>3.75</v>
      </c>
      <c r="J37" t="str">
        <f t="shared" si="5"/>
        <v>3" (76mm) NYLON WEB, 2 ply (E-E) Choker rating: 6900 lbs</v>
      </c>
      <c r="L37" s="3" t="s">
        <v>563</v>
      </c>
      <c r="M37" s="240">
        <v>4000</v>
      </c>
      <c r="N37" s="239">
        <f t="shared" si="6"/>
        <v>3200</v>
      </c>
      <c r="O37" s="239">
        <f t="shared" si="7"/>
        <v>8000</v>
      </c>
      <c r="P37">
        <v>96</v>
      </c>
      <c r="R37" s="7" t="s">
        <v>1028</v>
      </c>
    </row>
    <row r="38" spans="1:18" x14ac:dyDescent="0.2">
      <c r="A38" s="3">
        <v>15</v>
      </c>
      <c r="B38" s="229" t="s">
        <v>2113</v>
      </c>
      <c r="C38" s="3" t="s">
        <v>674</v>
      </c>
      <c r="D38" s="3" t="str">
        <f t="shared" si="4"/>
        <v>4" (102mm) NYLON WEB, 2 ply (E-E) Vertical WLL: 11500 lbs</v>
      </c>
      <c r="E38" s="230">
        <v>11500</v>
      </c>
      <c r="F38" s="230">
        <v>9200</v>
      </c>
      <c r="G38" s="230">
        <v>23000</v>
      </c>
      <c r="H38" s="3">
        <v>3.75</v>
      </c>
      <c r="J38" t="str">
        <f t="shared" si="5"/>
        <v>4" (102mm) NYLON WEB, 2 ply (E-E) Choker rating: 9200 lbs</v>
      </c>
      <c r="L38" s="3" t="s">
        <v>564</v>
      </c>
      <c r="M38" s="240">
        <v>5000</v>
      </c>
      <c r="N38" s="239">
        <f t="shared" si="6"/>
        <v>4000</v>
      </c>
      <c r="O38" s="239">
        <f t="shared" si="7"/>
        <v>10000</v>
      </c>
      <c r="P38">
        <v>96</v>
      </c>
      <c r="R38" s="7" t="s">
        <v>1028</v>
      </c>
    </row>
    <row r="39" spans="1:18" x14ac:dyDescent="0.2">
      <c r="A39" s="3">
        <v>16</v>
      </c>
      <c r="B39" s="229" t="s">
        <v>2114</v>
      </c>
      <c r="C39" s="3" t="s">
        <v>675</v>
      </c>
      <c r="D39" s="3" t="str">
        <f t="shared" si="4"/>
        <v>5" (127mm) NYLON WEB, 2 ply (E-E) Vertical WLL: 13600 lbs</v>
      </c>
      <c r="E39" s="230">
        <v>13600</v>
      </c>
      <c r="F39" s="230">
        <v>10900</v>
      </c>
      <c r="G39" s="230">
        <v>27200</v>
      </c>
      <c r="H39" s="3">
        <v>3.75</v>
      </c>
      <c r="J39" t="str">
        <f t="shared" si="5"/>
        <v>5" (127mm) NYLON WEB, 2 ply (E-E) Choker rating: 10900 lbs</v>
      </c>
      <c r="L39" s="3" t="s">
        <v>565</v>
      </c>
      <c r="M39" s="240">
        <v>6200</v>
      </c>
      <c r="N39" s="239">
        <f t="shared" si="6"/>
        <v>4960</v>
      </c>
      <c r="O39" s="239">
        <f t="shared" si="7"/>
        <v>12400</v>
      </c>
      <c r="P39">
        <v>96</v>
      </c>
      <c r="R39" s="7" t="s">
        <v>1028</v>
      </c>
    </row>
    <row r="40" spans="1:18" x14ac:dyDescent="0.2">
      <c r="A40" s="3">
        <v>17</v>
      </c>
      <c r="B40" s="229" t="s">
        <v>2115</v>
      </c>
      <c r="C40" s="3" t="s">
        <v>676</v>
      </c>
      <c r="D40" s="3" t="str">
        <f t="shared" si="4"/>
        <v>6" (152mm) NYLON WEB, 2 ply (E-E) Vertical WLL: 16300 lbs</v>
      </c>
      <c r="E40" s="230">
        <v>16300</v>
      </c>
      <c r="F40" s="230">
        <v>13000</v>
      </c>
      <c r="G40" s="230">
        <v>32600</v>
      </c>
      <c r="H40" s="3">
        <v>3.75</v>
      </c>
      <c r="J40" t="str">
        <f t="shared" si="5"/>
        <v>6" (152mm) NYLON WEB, 2 ply (E-E) Choker rating: 13000 lbs</v>
      </c>
      <c r="L40" s="3" t="s">
        <v>566</v>
      </c>
      <c r="M40" s="240">
        <v>7500</v>
      </c>
      <c r="N40" s="239">
        <f t="shared" si="6"/>
        <v>6000</v>
      </c>
      <c r="O40" s="239">
        <f t="shared" si="7"/>
        <v>15000</v>
      </c>
      <c r="P40">
        <v>96</v>
      </c>
      <c r="R40" s="7" t="s">
        <v>1028</v>
      </c>
    </row>
    <row r="41" spans="1:18" x14ac:dyDescent="0.2">
      <c r="A41" s="3">
        <v>18</v>
      </c>
      <c r="B41" s="229" t="s">
        <v>2116</v>
      </c>
      <c r="C41" s="3" t="s">
        <v>677</v>
      </c>
      <c r="D41" s="3" t="str">
        <f t="shared" si="4"/>
        <v>8" (203mm) NYLON WEB, 2 ply (E-E) Vertical WLL: 19200 lbs</v>
      </c>
      <c r="E41" s="230">
        <v>19200</v>
      </c>
      <c r="F41" s="230">
        <v>15400</v>
      </c>
      <c r="G41" s="230">
        <v>38400</v>
      </c>
      <c r="H41" s="3">
        <v>4.5</v>
      </c>
      <c r="J41" t="str">
        <f t="shared" si="5"/>
        <v>8" (203mm) NYLON WEB, 2 ply (E-E) Choker rating: 15400 lbs</v>
      </c>
      <c r="L41" s="3" t="s">
        <v>567</v>
      </c>
      <c r="M41" s="240">
        <v>10325</v>
      </c>
      <c r="N41" s="239">
        <f t="shared" si="6"/>
        <v>8260</v>
      </c>
      <c r="O41" s="239">
        <f t="shared" si="7"/>
        <v>20650</v>
      </c>
      <c r="P41">
        <v>115</v>
      </c>
      <c r="R41" s="7" t="s">
        <v>1028</v>
      </c>
    </row>
    <row r="42" spans="1:18" x14ac:dyDescent="0.2">
      <c r="A42" s="3">
        <v>19</v>
      </c>
      <c r="B42" s="229" t="s">
        <v>2117</v>
      </c>
      <c r="C42" s="3" t="s">
        <v>678</v>
      </c>
      <c r="D42" s="3" t="str">
        <f t="shared" si="4"/>
        <v>10" (254mm) NYLON WEB, 2 ply (E-E) Vertical WLL: 22400 lbs</v>
      </c>
      <c r="E42" s="230">
        <v>22400</v>
      </c>
      <c r="F42" s="230">
        <v>17900</v>
      </c>
      <c r="G42" s="230">
        <v>44800</v>
      </c>
      <c r="H42" s="3">
        <v>4.5</v>
      </c>
      <c r="J42" t="str">
        <f t="shared" si="5"/>
        <v>10" (254mm) NYLON WEB, 2 ply (E-E) Choker rating: 17900 lbs</v>
      </c>
      <c r="L42" s="3" t="s">
        <v>568</v>
      </c>
      <c r="M42" s="240">
        <v>12900</v>
      </c>
      <c r="N42" s="239">
        <f t="shared" si="6"/>
        <v>10320</v>
      </c>
      <c r="O42" s="239">
        <f t="shared" si="7"/>
        <v>25800</v>
      </c>
      <c r="P42">
        <v>115</v>
      </c>
      <c r="R42" s="7" t="s">
        <v>1028</v>
      </c>
    </row>
    <row r="43" spans="1:18" x14ac:dyDescent="0.2">
      <c r="A43" s="3">
        <v>20</v>
      </c>
      <c r="B43" s="229" t="s">
        <v>2118</v>
      </c>
      <c r="C43" s="3" t="s">
        <v>679</v>
      </c>
      <c r="D43" s="3" t="str">
        <f t="shared" si="4"/>
        <v>12" (305mm) NYLON WEB, 2 ply (E-E) Vertical WLL: 26900 lbs</v>
      </c>
      <c r="E43" s="230">
        <v>26900</v>
      </c>
      <c r="F43" s="230">
        <v>21500</v>
      </c>
      <c r="G43" s="230">
        <v>53800</v>
      </c>
      <c r="H43" s="3">
        <v>4.5</v>
      </c>
      <c r="J43" t="str">
        <f t="shared" si="5"/>
        <v>12" (305mm) NYLON WEB, 2 ply (E-E) Choker rating: 21500 lbs</v>
      </c>
      <c r="L43" s="3" t="s">
        <v>569</v>
      </c>
      <c r="M43" s="240">
        <v>15500</v>
      </c>
      <c r="N43" s="239">
        <f t="shared" si="6"/>
        <v>12400</v>
      </c>
      <c r="O43" s="239">
        <f t="shared" si="7"/>
        <v>31000</v>
      </c>
      <c r="P43">
        <v>115</v>
      </c>
      <c r="R43" s="7" t="s">
        <v>1028</v>
      </c>
    </row>
    <row r="44" spans="1:18" x14ac:dyDescent="0.2">
      <c r="A44" s="3">
        <v>21</v>
      </c>
      <c r="B44" s="149"/>
      <c r="C44" s="998" t="s">
        <v>514</v>
      </c>
      <c r="D44" s="998"/>
      <c r="E44" s="234"/>
      <c r="F44" s="234"/>
      <c r="G44" s="234"/>
      <c r="H44" s="234"/>
      <c r="I44" s="234"/>
      <c r="J44" s="233" t="str">
        <f>C44</f>
        <v>Nylon Web Slings - Endless - Types 5 - ONE PLY</v>
      </c>
      <c r="L44" s="241"/>
      <c r="M44" s="241"/>
      <c r="N44" s="242"/>
      <c r="O44" s="242"/>
      <c r="R44" s="7" t="s">
        <v>1028</v>
      </c>
    </row>
    <row r="45" spans="1:18" x14ac:dyDescent="0.2">
      <c r="A45" s="3">
        <v>22</v>
      </c>
      <c r="B45" s="231" t="s">
        <v>504</v>
      </c>
      <c r="C45" s="3" t="s">
        <v>689</v>
      </c>
      <c r="D45" s="3" t="str">
        <f t="shared" ref="D45:D53" si="8">CONCATENATE(C45," Vertical WLL: ",E45," lbs")</f>
        <v>1" (25mm) NYLON WEB, 1 ply (EN) Vertical WLL: 3200 lbs</v>
      </c>
      <c r="E45" s="232">
        <v>3200</v>
      </c>
      <c r="F45" s="232">
        <v>2500</v>
      </c>
      <c r="G45" s="232">
        <v>6400</v>
      </c>
      <c r="H45" s="3">
        <v>2</v>
      </c>
      <c r="J45" t="str">
        <f t="shared" ref="J45:J53" si="9">CONCATENATE(C45," Choker rating: ",F45," lbs")</f>
        <v>1" (25mm) NYLON WEB, 1 ply (EN) Choker rating: 2500 lbs</v>
      </c>
      <c r="L45" s="3" t="s">
        <v>648</v>
      </c>
      <c r="M45" s="240">
        <v>1450</v>
      </c>
      <c r="N45" s="239">
        <f t="shared" ref="N45:N53" si="10">M45*0.8</f>
        <v>1160</v>
      </c>
      <c r="O45" s="239">
        <f t="shared" ref="O45:O53" si="11">M45*2</f>
        <v>2900</v>
      </c>
      <c r="P45">
        <v>51</v>
      </c>
      <c r="R45" s="7" t="s">
        <v>1028</v>
      </c>
    </row>
    <row r="46" spans="1:18" x14ac:dyDescent="0.2">
      <c r="A46" s="3">
        <v>23</v>
      </c>
      <c r="B46" s="231" t="s">
        <v>505</v>
      </c>
      <c r="C46" s="3" t="s">
        <v>690</v>
      </c>
      <c r="D46" s="3" t="str">
        <f t="shared" si="8"/>
        <v>2" (51mm) NYLON WEB, 1 ply (EN) Vertical WLL: 6400 lbs</v>
      </c>
      <c r="E46" s="232">
        <v>6400</v>
      </c>
      <c r="F46" s="232">
        <v>5000</v>
      </c>
      <c r="G46" s="232">
        <v>12800</v>
      </c>
      <c r="H46" s="3">
        <v>2</v>
      </c>
      <c r="J46" t="str">
        <f t="shared" si="9"/>
        <v>2" (51mm) NYLON WEB, 1 ply (EN) Choker rating: 5000 lbs</v>
      </c>
      <c r="L46" s="3" t="s">
        <v>649</v>
      </c>
      <c r="M46" s="240">
        <v>2800</v>
      </c>
      <c r="N46" s="239">
        <f t="shared" si="10"/>
        <v>2240</v>
      </c>
      <c r="O46" s="239">
        <f t="shared" si="11"/>
        <v>5600</v>
      </c>
      <c r="P46">
        <v>51</v>
      </c>
      <c r="R46" s="7" t="s">
        <v>1028</v>
      </c>
    </row>
    <row r="47" spans="1:18" x14ac:dyDescent="0.2">
      <c r="A47" s="3">
        <v>24</v>
      </c>
      <c r="B47" s="231" t="s">
        <v>506</v>
      </c>
      <c r="C47" s="3" t="s">
        <v>691</v>
      </c>
      <c r="D47" s="3" t="str">
        <f t="shared" si="8"/>
        <v>3" (76mm) NYLON WEB, 1 ply (EN) Vertical WLL: 8600 lbs</v>
      </c>
      <c r="E47" s="232">
        <v>8600</v>
      </c>
      <c r="F47" s="232">
        <v>6900</v>
      </c>
      <c r="G47" s="232">
        <v>17200</v>
      </c>
      <c r="H47" s="3">
        <v>3.75</v>
      </c>
      <c r="J47" t="str">
        <f t="shared" si="9"/>
        <v>3" (76mm) NYLON WEB, 1 ply (EN) Choker rating: 6900 lbs</v>
      </c>
      <c r="L47" s="3" t="s">
        <v>650</v>
      </c>
      <c r="M47" s="240">
        <v>4225</v>
      </c>
      <c r="N47" s="239">
        <f t="shared" si="10"/>
        <v>3380</v>
      </c>
      <c r="O47" s="239">
        <f t="shared" si="11"/>
        <v>8450</v>
      </c>
      <c r="P47">
        <v>96</v>
      </c>
      <c r="R47" s="7" t="s">
        <v>1028</v>
      </c>
    </row>
    <row r="48" spans="1:18" x14ac:dyDescent="0.2">
      <c r="A48" s="3">
        <v>25</v>
      </c>
      <c r="B48" s="231" t="s">
        <v>507</v>
      </c>
      <c r="C48" s="3" t="s">
        <v>692</v>
      </c>
      <c r="D48" s="3" t="str">
        <f t="shared" si="8"/>
        <v>4" (102mm) NYLON WEB, 1 ply (EN) Vertical WLL: 11500 lbs</v>
      </c>
      <c r="E48" s="232">
        <v>11500</v>
      </c>
      <c r="F48" s="232">
        <v>9200</v>
      </c>
      <c r="G48" s="232">
        <v>23000</v>
      </c>
      <c r="H48" s="3">
        <v>3.75</v>
      </c>
      <c r="J48" t="str">
        <f t="shared" si="9"/>
        <v>4" (102mm) NYLON WEB, 1 ply (EN) Choker rating: 9200 lbs</v>
      </c>
      <c r="L48" s="3" t="s">
        <v>651</v>
      </c>
      <c r="M48" s="240">
        <v>5600</v>
      </c>
      <c r="N48" s="239">
        <f t="shared" si="10"/>
        <v>4480</v>
      </c>
      <c r="O48" s="239">
        <f t="shared" si="11"/>
        <v>11200</v>
      </c>
      <c r="P48">
        <v>96</v>
      </c>
      <c r="R48" s="7" t="s">
        <v>1028</v>
      </c>
    </row>
    <row r="49" spans="1:19" x14ac:dyDescent="0.2">
      <c r="A49" s="3">
        <v>26</v>
      </c>
      <c r="B49" s="231" t="s">
        <v>508</v>
      </c>
      <c r="C49" s="3" t="s">
        <v>693</v>
      </c>
      <c r="D49" s="3" t="str">
        <f t="shared" si="8"/>
        <v>5" (127mm) NYLON WEB, 1 ply (EN) Vertical WLL: 13600 lbs</v>
      </c>
      <c r="E49" s="232">
        <v>13600</v>
      </c>
      <c r="F49" s="232">
        <v>10900</v>
      </c>
      <c r="G49" s="232">
        <v>27200</v>
      </c>
      <c r="H49" s="3">
        <v>3.75</v>
      </c>
      <c r="J49" t="str">
        <f t="shared" si="9"/>
        <v>5" (127mm) NYLON WEB, 1 ply (EN) Choker rating: 10900 lbs</v>
      </c>
      <c r="L49" s="3" t="s">
        <v>652</v>
      </c>
      <c r="M49" s="240">
        <v>7050</v>
      </c>
      <c r="N49" s="239">
        <f t="shared" si="10"/>
        <v>5640</v>
      </c>
      <c r="O49" s="239">
        <f t="shared" si="11"/>
        <v>14100</v>
      </c>
      <c r="P49">
        <v>96</v>
      </c>
      <c r="R49" s="7" t="s">
        <v>1028</v>
      </c>
    </row>
    <row r="50" spans="1:19" x14ac:dyDescent="0.2">
      <c r="A50" s="3">
        <v>27</v>
      </c>
      <c r="B50" s="231" t="s">
        <v>509</v>
      </c>
      <c r="C50" s="3" t="s">
        <v>694</v>
      </c>
      <c r="D50" s="3" t="str">
        <f t="shared" si="8"/>
        <v>6" (152mm) NYLON WEB, 1 ply (EN) Vertical WLL: 16300 lbs</v>
      </c>
      <c r="E50" s="232">
        <v>16300</v>
      </c>
      <c r="F50" s="232">
        <v>13000</v>
      </c>
      <c r="G50" s="232">
        <v>32600</v>
      </c>
      <c r="H50" s="3">
        <v>3.75</v>
      </c>
      <c r="J50" t="str">
        <f t="shared" si="9"/>
        <v>6" (152mm) NYLON WEB, 1 ply (EN) Choker rating: 13000 lbs</v>
      </c>
      <c r="L50" s="3" t="s">
        <v>653</v>
      </c>
      <c r="M50" s="240">
        <v>8450</v>
      </c>
      <c r="N50" s="239">
        <f t="shared" si="10"/>
        <v>6760</v>
      </c>
      <c r="O50" s="239">
        <f t="shared" si="11"/>
        <v>16900</v>
      </c>
      <c r="P50">
        <v>96</v>
      </c>
      <c r="R50" s="7" t="s">
        <v>1028</v>
      </c>
    </row>
    <row r="51" spans="1:19" x14ac:dyDescent="0.2">
      <c r="A51" s="3">
        <v>28</v>
      </c>
      <c r="B51" s="231" t="s">
        <v>510</v>
      </c>
      <c r="C51" s="3" t="s">
        <v>695</v>
      </c>
      <c r="D51" s="3" t="str">
        <f t="shared" si="8"/>
        <v>8" (203mm) NYLON WEB, 1 ply (EN) Vertical WLL: 19200 lbs</v>
      </c>
      <c r="E51" s="232">
        <v>19200</v>
      </c>
      <c r="F51" s="232">
        <v>15400</v>
      </c>
      <c r="G51" s="232">
        <v>38400</v>
      </c>
      <c r="H51" s="3">
        <v>4.5</v>
      </c>
      <c r="J51" t="str">
        <f t="shared" si="9"/>
        <v>8" (203mm) NYLON WEB, 1 ply (EN) Choker rating: 15400 lbs</v>
      </c>
      <c r="L51" s="3" t="s">
        <v>654</v>
      </c>
      <c r="M51" s="240">
        <v>9600</v>
      </c>
      <c r="N51" s="239">
        <f t="shared" si="10"/>
        <v>7680</v>
      </c>
      <c r="O51" s="239">
        <f t="shared" si="11"/>
        <v>19200</v>
      </c>
      <c r="P51">
        <v>115</v>
      </c>
      <c r="R51" s="7" t="s">
        <v>1028</v>
      </c>
    </row>
    <row r="52" spans="1:19" x14ac:dyDescent="0.2">
      <c r="A52" s="3">
        <v>29</v>
      </c>
      <c r="B52" s="231" t="s">
        <v>511</v>
      </c>
      <c r="C52" s="3" t="s">
        <v>696</v>
      </c>
      <c r="D52" s="3" t="str">
        <f t="shared" si="8"/>
        <v>10" (254mm) NYLON WEB, 1 ply (EN) Vertical WLL: 22400 lbs</v>
      </c>
      <c r="E52" s="232">
        <v>22400</v>
      </c>
      <c r="F52" s="232">
        <v>17900</v>
      </c>
      <c r="G52" s="232">
        <v>44800</v>
      </c>
      <c r="H52" s="3">
        <v>4.5</v>
      </c>
      <c r="J52" t="str">
        <f t="shared" si="9"/>
        <v>10" (254mm) NYLON WEB, 1 ply (EN) Choker rating: 17900 lbs</v>
      </c>
      <c r="L52" s="3" t="s">
        <v>655</v>
      </c>
      <c r="M52" s="240">
        <v>12000</v>
      </c>
      <c r="N52" s="239">
        <f t="shared" si="10"/>
        <v>9600</v>
      </c>
      <c r="O52" s="239">
        <f t="shared" si="11"/>
        <v>24000</v>
      </c>
      <c r="P52">
        <v>115</v>
      </c>
      <c r="R52" s="7" t="s">
        <v>1028</v>
      </c>
    </row>
    <row r="53" spans="1:19" x14ac:dyDescent="0.2">
      <c r="A53" s="3">
        <v>30</v>
      </c>
      <c r="B53" s="231" t="s">
        <v>512</v>
      </c>
      <c r="C53" s="3" t="s">
        <v>697</v>
      </c>
      <c r="D53" s="3" t="str">
        <f t="shared" si="8"/>
        <v>12" (305mm) NYLON WEB, 1 ply (EN) Vertical WLL: 26900 lbs</v>
      </c>
      <c r="E53" s="232">
        <v>26900</v>
      </c>
      <c r="F53" s="232">
        <v>21500</v>
      </c>
      <c r="G53" s="232">
        <v>53800</v>
      </c>
      <c r="H53" s="3">
        <v>4.5</v>
      </c>
      <c r="J53" t="str">
        <f t="shared" si="9"/>
        <v>12" (305mm) NYLON WEB, 1 ply (EN) Choker rating: 21500 lbs</v>
      </c>
      <c r="L53" s="3" t="s">
        <v>656</v>
      </c>
      <c r="M53" s="240">
        <v>14400</v>
      </c>
      <c r="N53" s="239">
        <f t="shared" si="10"/>
        <v>11520</v>
      </c>
      <c r="O53" s="239">
        <f t="shared" si="11"/>
        <v>28800</v>
      </c>
      <c r="P53">
        <v>115</v>
      </c>
      <c r="R53" s="7" t="s">
        <v>1028</v>
      </c>
    </row>
    <row r="54" spans="1:19" x14ac:dyDescent="0.2">
      <c r="A54" s="3">
        <v>31</v>
      </c>
      <c r="B54" s="149"/>
      <c r="C54" s="998" t="s">
        <v>550</v>
      </c>
      <c r="D54" s="998"/>
      <c r="E54" s="234"/>
      <c r="F54" s="237"/>
      <c r="G54" s="237"/>
      <c r="H54" s="234"/>
      <c r="I54" s="234"/>
      <c r="J54" s="233" t="str">
        <f>C54</f>
        <v>Nylon Web Slings - Endless - Types 5 - TWO PLY</v>
      </c>
      <c r="L54" s="241"/>
      <c r="M54" s="241"/>
      <c r="N54" s="242"/>
      <c r="O54" s="242"/>
      <c r="R54" s="7" t="s">
        <v>1028</v>
      </c>
    </row>
    <row r="55" spans="1:19" x14ac:dyDescent="0.2">
      <c r="A55" s="3">
        <v>32</v>
      </c>
      <c r="B55" s="235" t="s">
        <v>516</v>
      </c>
      <c r="C55" s="3" t="s">
        <v>680</v>
      </c>
      <c r="D55" s="3" t="str">
        <f t="shared" ref="D55:D63" si="12">CONCATENATE(C55," Vertical WLL: ",E55," lbs")</f>
        <v>1" (25mm) NYLON WEB, 2 ply (EN) Vertical WLL: 6200 lbs</v>
      </c>
      <c r="E55" s="236">
        <v>6200</v>
      </c>
      <c r="F55" s="236">
        <v>4900</v>
      </c>
      <c r="G55" s="236">
        <v>12400</v>
      </c>
      <c r="H55" s="3">
        <v>2</v>
      </c>
      <c r="J55" t="str">
        <f t="shared" ref="J55:J63" si="13">CONCATENATE(C55," Choker rating: ",F55," lbs")</f>
        <v>1" (25mm) NYLON WEB, 2 ply (EN) Choker rating: 4900 lbs</v>
      </c>
      <c r="L55" s="3" t="s">
        <v>570</v>
      </c>
      <c r="M55" s="240">
        <v>2800</v>
      </c>
      <c r="N55" s="239">
        <f t="shared" ref="N55:N63" si="14">M55*0.8</f>
        <v>2240</v>
      </c>
      <c r="O55" s="239">
        <f t="shared" ref="O55:O63" si="15">M55*2</f>
        <v>5600</v>
      </c>
      <c r="P55">
        <v>51</v>
      </c>
      <c r="R55" s="7" t="s">
        <v>1028</v>
      </c>
    </row>
    <row r="56" spans="1:19" x14ac:dyDescent="0.2">
      <c r="A56" s="3">
        <v>33</v>
      </c>
      <c r="B56" s="235" t="s">
        <v>517</v>
      </c>
      <c r="C56" s="3" t="s">
        <v>681</v>
      </c>
      <c r="D56" s="3" t="str">
        <f t="shared" si="12"/>
        <v>2" (51mm) NYLON WEB, 2 ply (EN) Vertical WLL: 12200 lbs</v>
      </c>
      <c r="E56" s="236">
        <v>12200</v>
      </c>
      <c r="F56" s="236">
        <v>9800</v>
      </c>
      <c r="G56" s="236">
        <v>24400</v>
      </c>
      <c r="H56" s="3">
        <v>2</v>
      </c>
      <c r="J56" t="str">
        <f t="shared" si="13"/>
        <v>2" (51mm) NYLON WEB, 2 ply (EN) Choker rating: 9800 lbs</v>
      </c>
      <c r="L56" s="3" t="s">
        <v>571</v>
      </c>
      <c r="M56" s="240">
        <v>5650</v>
      </c>
      <c r="N56" s="239">
        <f t="shared" si="14"/>
        <v>4520</v>
      </c>
      <c r="O56" s="239">
        <f t="shared" si="15"/>
        <v>11300</v>
      </c>
      <c r="P56">
        <v>51</v>
      </c>
      <c r="R56" s="7" t="s">
        <v>1028</v>
      </c>
    </row>
    <row r="57" spans="1:19" x14ac:dyDescent="0.2">
      <c r="A57" s="3">
        <v>34</v>
      </c>
      <c r="B57" s="235" t="s">
        <v>518</v>
      </c>
      <c r="C57" s="3" t="s">
        <v>682</v>
      </c>
      <c r="D57" s="3" t="str">
        <f t="shared" si="12"/>
        <v>3" (76mm) NYLON WEB, 2 ply (EN) Vertical WLL: 16300 lbs</v>
      </c>
      <c r="E57" s="236">
        <v>16300</v>
      </c>
      <c r="F57" s="236">
        <v>13000</v>
      </c>
      <c r="G57" s="236">
        <v>32600</v>
      </c>
      <c r="H57" s="3">
        <v>3.75</v>
      </c>
      <c r="J57" t="str">
        <f t="shared" si="13"/>
        <v>3" (76mm) NYLON WEB, 2 ply (EN) Choker rating: 13000 lbs</v>
      </c>
      <c r="L57" s="3" t="s">
        <v>572</v>
      </c>
      <c r="M57" s="240">
        <v>8000</v>
      </c>
      <c r="N57" s="239">
        <f t="shared" si="14"/>
        <v>6400</v>
      </c>
      <c r="O57" s="239">
        <f t="shared" si="15"/>
        <v>16000</v>
      </c>
      <c r="P57">
        <v>96</v>
      </c>
      <c r="R57" s="7" t="s">
        <v>1028</v>
      </c>
    </row>
    <row r="58" spans="1:19" x14ac:dyDescent="0.2">
      <c r="A58" s="3">
        <v>35</v>
      </c>
      <c r="B58" s="235" t="s">
        <v>519</v>
      </c>
      <c r="C58" s="3" t="s">
        <v>683</v>
      </c>
      <c r="D58" s="3" t="str">
        <f t="shared" si="12"/>
        <v>4" (102mm) NYLON WEB, 2 ply (EN) Vertical WLL: 20700 lbs</v>
      </c>
      <c r="E58" s="236">
        <v>20700</v>
      </c>
      <c r="F58" s="236">
        <v>16500</v>
      </c>
      <c r="G58" s="236">
        <v>41400</v>
      </c>
      <c r="H58" s="3">
        <v>3.75</v>
      </c>
      <c r="J58" t="str">
        <f t="shared" si="13"/>
        <v>4" (102mm) NYLON WEB, 2 ply (EN) Choker rating: 16500 lbs</v>
      </c>
      <c r="L58" s="3" t="s">
        <v>573</v>
      </c>
      <c r="M58" s="240">
        <v>10000</v>
      </c>
      <c r="N58" s="239">
        <f t="shared" si="14"/>
        <v>8000</v>
      </c>
      <c r="O58" s="239">
        <f t="shared" si="15"/>
        <v>20000</v>
      </c>
      <c r="P58">
        <v>96</v>
      </c>
      <c r="R58" s="7" t="s">
        <v>1028</v>
      </c>
    </row>
    <row r="59" spans="1:19" x14ac:dyDescent="0.2">
      <c r="A59" s="3">
        <v>36</v>
      </c>
      <c r="B59" s="235" t="s">
        <v>520</v>
      </c>
      <c r="C59" s="3" t="s">
        <v>684</v>
      </c>
      <c r="D59" s="3" t="str">
        <f t="shared" si="12"/>
        <v>5" (127mm) NYLON WEB, 2 ply (EN) Vertical WLL: 24500 lbs</v>
      </c>
      <c r="E59" s="236">
        <v>24500</v>
      </c>
      <c r="F59" s="236">
        <v>19600</v>
      </c>
      <c r="G59" s="236">
        <v>49000</v>
      </c>
      <c r="H59" s="3">
        <v>3.75</v>
      </c>
      <c r="J59" t="str">
        <f t="shared" si="13"/>
        <v>5" (127mm) NYLON WEB, 2 ply (EN) Choker rating: 19600 lbs</v>
      </c>
      <c r="L59" s="3" t="s">
        <v>643</v>
      </c>
      <c r="M59" s="240">
        <v>12450</v>
      </c>
      <c r="N59" s="239">
        <f t="shared" si="14"/>
        <v>9960</v>
      </c>
      <c r="O59" s="239">
        <f t="shared" si="15"/>
        <v>24900</v>
      </c>
      <c r="P59">
        <v>96</v>
      </c>
      <c r="R59" s="7" t="s">
        <v>1028</v>
      </c>
    </row>
    <row r="60" spans="1:19" x14ac:dyDescent="0.2">
      <c r="A60" s="3">
        <v>37</v>
      </c>
      <c r="B60" s="235" t="s">
        <v>521</v>
      </c>
      <c r="C60" s="3" t="s">
        <v>685</v>
      </c>
      <c r="D60" s="3" t="str">
        <f t="shared" si="12"/>
        <v>6" (152mm) NYLON WEB, 2 ply (EN) Vertical WLL: 28600 lbs</v>
      </c>
      <c r="E60" s="236">
        <v>28600</v>
      </c>
      <c r="F60" s="236">
        <v>23000</v>
      </c>
      <c r="G60" s="236">
        <v>57200</v>
      </c>
      <c r="H60" s="3">
        <v>3.75</v>
      </c>
      <c r="J60" t="str">
        <f t="shared" si="13"/>
        <v>6" (152mm) NYLON WEB, 2 ply (EN) Choker rating: 23000 lbs</v>
      </c>
      <c r="L60" s="3" t="s">
        <v>644</v>
      </c>
      <c r="M60" s="240">
        <v>15000</v>
      </c>
      <c r="N60" s="239">
        <f t="shared" si="14"/>
        <v>12000</v>
      </c>
      <c r="O60" s="239">
        <f t="shared" si="15"/>
        <v>30000</v>
      </c>
      <c r="P60">
        <v>96</v>
      </c>
      <c r="R60" s="7" t="s">
        <v>1028</v>
      </c>
    </row>
    <row r="61" spans="1:19" x14ac:dyDescent="0.2">
      <c r="A61" s="3">
        <v>38</v>
      </c>
      <c r="B61" s="235" t="s">
        <v>522</v>
      </c>
      <c r="C61" s="3" t="s">
        <v>686</v>
      </c>
      <c r="D61" s="3" t="str">
        <f t="shared" si="12"/>
        <v>8" (203mm) NYLON WEB, 2 ply (EN) Vertical WLL: 30700 lbs</v>
      </c>
      <c r="E61" s="236">
        <v>30700</v>
      </c>
      <c r="F61" s="236">
        <v>24500</v>
      </c>
      <c r="G61" s="236">
        <v>61400</v>
      </c>
      <c r="H61" s="3">
        <v>4.5</v>
      </c>
      <c r="J61" t="str">
        <f t="shared" si="13"/>
        <v>8" (203mm) NYLON WEB, 2 ply (EN) Choker rating: 24500 lbs</v>
      </c>
      <c r="L61" s="3" t="s">
        <v>645</v>
      </c>
      <c r="M61" s="240">
        <v>19250</v>
      </c>
      <c r="N61" s="239">
        <f t="shared" si="14"/>
        <v>15400</v>
      </c>
      <c r="O61" s="239">
        <f t="shared" si="15"/>
        <v>38500</v>
      </c>
      <c r="P61">
        <v>115</v>
      </c>
      <c r="R61" s="7" t="s">
        <v>1028</v>
      </c>
    </row>
    <row r="62" spans="1:19" x14ac:dyDescent="0.2">
      <c r="A62" s="3">
        <v>39</v>
      </c>
      <c r="B62" s="235" t="s">
        <v>548</v>
      </c>
      <c r="C62" s="3" t="s">
        <v>687</v>
      </c>
      <c r="D62" s="3" t="str">
        <f t="shared" si="12"/>
        <v>10" (254mm) NYLON WEB, 2 ply (EN) Vertical WLL: 33600 lbs</v>
      </c>
      <c r="E62" s="236">
        <v>33600</v>
      </c>
      <c r="F62" s="236">
        <v>26800</v>
      </c>
      <c r="G62" s="236">
        <v>67200</v>
      </c>
      <c r="H62" s="3">
        <v>4.5</v>
      </c>
      <c r="J62" t="str">
        <f t="shared" si="13"/>
        <v>10" (254mm) NYLON WEB, 2 ply (EN) Choker rating: 26800 lbs</v>
      </c>
      <c r="L62" s="3" t="s">
        <v>646</v>
      </c>
      <c r="M62" s="240">
        <v>24000</v>
      </c>
      <c r="N62" s="239">
        <f t="shared" si="14"/>
        <v>19200</v>
      </c>
      <c r="O62" s="239">
        <f t="shared" si="15"/>
        <v>48000</v>
      </c>
      <c r="P62">
        <v>115</v>
      </c>
      <c r="R62" s="7" t="s">
        <v>1028</v>
      </c>
    </row>
    <row r="63" spans="1:19" x14ac:dyDescent="0.2">
      <c r="A63" s="3">
        <v>40</v>
      </c>
      <c r="B63" s="235" t="s">
        <v>549</v>
      </c>
      <c r="C63" s="3" t="s">
        <v>688</v>
      </c>
      <c r="D63" s="3" t="str">
        <f t="shared" si="12"/>
        <v>12" (305mm) NYLON WEB, 2 ply (EN) Vertical WLL: 37600 lbs</v>
      </c>
      <c r="E63" s="236">
        <v>37600</v>
      </c>
      <c r="F63" s="236">
        <v>30000</v>
      </c>
      <c r="G63" s="236">
        <v>75200</v>
      </c>
      <c r="H63" s="3">
        <v>4.5</v>
      </c>
      <c r="J63" t="str">
        <f t="shared" si="13"/>
        <v>12" (305mm) NYLON WEB, 2 ply (EN) Choker rating: 30000 lbs</v>
      </c>
      <c r="L63" s="3" t="s">
        <v>647</v>
      </c>
      <c r="M63" s="240">
        <v>28850</v>
      </c>
      <c r="N63" s="239">
        <f t="shared" si="14"/>
        <v>23080</v>
      </c>
      <c r="O63" s="239">
        <f t="shared" si="15"/>
        <v>57700</v>
      </c>
      <c r="P63">
        <v>115</v>
      </c>
      <c r="R63" s="7" t="s">
        <v>1028</v>
      </c>
    </row>
    <row r="64" spans="1:19" x14ac:dyDescent="0.2">
      <c r="A64" s="3">
        <v>41</v>
      </c>
      <c r="B64" s="234"/>
      <c r="C64" s="234"/>
      <c r="D64" s="233" t="s">
        <v>657</v>
      </c>
      <c r="E64" s="815" t="s">
        <v>701</v>
      </c>
      <c r="F64" s="815"/>
      <c r="G64" s="815"/>
      <c r="H64" t="s">
        <v>89</v>
      </c>
      <c r="I64" t="s">
        <v>90</v>
      </c>
      <c r="J64" s="233" t="str">
        <f>D64</f>
        <v>Polyester Round Slings</v>
      </c>
      <c r="K64" s="348" t="s">
        <v>700</v>
      </c>
      <c r="M64" s="997" t="s">
        <v>1937</v>
      </c>
      <c r="N64" s="997"/>
      <c r="O64" s="997"/>
      <c r="P64" t="s">
        <v>1938</v>
      </c>
      <c r="R64" s="7" t="s">
        <v>1029</v>
      </c>
      <c r="S64" s="74" t="s">
        <v>1780</v>
      </c>
    </row>
    <row r="65" spans="1:19" x14ac:dyDescent="0.2">
      <c r="A65" s="3">
        <v>42</v>
      </c>
      <c r="B65" s="71" t="s">
        <v>2119</v>
      </c>
      <c r="C65" s="71" t="s">
        <v>63</v>
      </c>
      <c r="D65" s="71" t="str">
        <f t="shared" ref="D65:D77" si="16">CONCATENATE(C65," ( ",B65," ) ","Vertical WLL: ",E65," lbs")</f>
        <v>PURPLE Roundsling (Size 1) ( EN30 ) Vertical WLL: 2600 lbs</v>
      </c>
      <c r="E65" s="71">
        <v>2600</v>
      </c>
      <c r="F65" s="71">
        <v>2100</v>
      </c>
      <c r="G65" s="71">
        <f t="shared" ref="G65:G77" si="17">E65*2</f>
        <v>5200</v>
      </c>
      <c r="H65" s="459">
        <v>0.5</v>
      </c>
      <c r="I65" s="3">
        <v>1</v>
      </c>
      <c r="J65" t="str">
        <f t="shared" ref="J65:J77" si="18">CONCATENATE(C65," ( ",B65," ) ","Choker rating: ",F65," lbs")</f>
        <v>PURPLE Roundsling (Size 1) ( EN30 ) Choker rating: 2100 lbs</v>
      </c>
      <c r="K65" s="254">
        <v>1</v>
      </c>
      <c r="M65" s="240">
        <v>1200</v>
      </c>
      <c r="N65" s="239">
        <v>1000</v>
      </c>
      <c r="O65" s="240">
        <f t="shared" ref="O65:O77" si="19">M65*2</f>
        <v>2400</v>
      </c>
      <c r="P65" s="460">
        <v>12.7</v>
      </c>
      <c r="R65" s="7" t="s">
        <v>1029</v>
      </c>
      <c r="S65" s="7">
        <v>1</v>
      </c>
    </row>
    <row r="66" spans="1:19" x14ac:dyDescent="0.2">
      <c r="A66" s="3">
        <v>43</v>
      </c>
      <c r="B66" s="71" t="s">
        <v>2120</v>
      </c>
      <c r="C66" s="71" t="s">
        <v>64</v>
      </c>
      <c r="D66" s="71" t="str">
        <f t="shared" si="16"/>
        <v>GREEN Roundsling (Size 2) ( EN60 ) Vertical WLL: 5300 lbs</v>
      </c>
      <c r="E66" s="71">
        <v>5300</v>
      </c>
      <c r="F66" s="71">
        <v>4200</v>
      </c>
      <c r="G66" s="71">
        <f t="shared" si="17"/>
        <v>10600</v>
      </c>
      <c r="H66" s="459">
        <v>0.62</v>
      </c>
      <c r="I66" s="3">
        <v>1.25</v>
      </c>
      <c r="J66" t="str">
        <f t="shared" si="18"/>
        <v>GREEN Roundsling (Size 2) ( EN60 ) Choker rating: 4200 lbs</v>
      </c>
      <c r="K66" s="254">
        <v>2</v>
      </c>
      <c r="M66" s="240">
        <v>2400</v>
      </c>
      <c r="N66" s="239">
        <v>1900</v>
      </c>
      <c r="O66" s="240">
        <f t="shared" si="19"/>
        <v>4800</v>
      </c>
      <c r="P66" s="460">
        <v>15.7</v>
      </c>
      <c r="R66" s="7" t="s">
        <v>1029</v>
      </c>
      <c r="S66" s="7">
        <v>1</v>
      </c>
    </row>
    <row r="67" spans="1:19" x14ac:dyDescent="0.2">
      <c r="A67" s="3">
        <v>44</v>
      </c>
      <c r="B67" s="71" t="s">
        <v>2121</v>
      </c>
      <c r="C67" s="71" t="s">
        <v>65</v>
      </c>
      <c r="D67" s="71" t="str">
        <f t="shared" si="16"/>
        <v>YELLOW Roundsling (Size 3) ( EN90 ) Vertical WLL: 8400 lbs</v>
      </c>
      <c r="E67" s="71">
        <v>8400</v>
      </c>
      <c r="F67" s="71">
        <v>6700</v>
      </c>
      <c r="G67" s="71">
        <f t="shared" si="17"/>
        <v>16800</v>
      </c>
      <c r="H67" s="459">
        <v>0.75</v>
      </c>
      <c r="I67" s="3">
        <v>1.62</v>
      </c>
      <c r="J67" t="str">
        <f t="shared" si="18"/>
        <v>YELLOW Roundsling (Size 3) ( EN90 ) Choker rating: 6700 lbs</v>
      </c>
      <c r="K67" s="254">
        <v>3</v>
      </c>
      <c r="M67" s="240">
        <v>3800</v>
      </c>
      <c r="N67" s="239">
        <v>3000</v>
      </c>
      <c r="O67" s="240">
        <f t="shared" si="19"/>
        <v>7600</v>
      </c>
      <c r="P67" s="460">
        <v>19.100000000000001</v>
      </c>
      <c r="R67" s="7" t="s">
        <v>1029</v>
      </c>
      <c r="S67" s="7">
        <v>1</v>
      </c>
    </row>
    <row r="68" spans="1:19" x14ac:dyDescent="0.2">
      <c r="A68" s="3">
        <v>45</v>
      </c>
      <c r="B68" s="71" t="s">
        <v>2122</v>
      </c>
      <c r="C68" s="71" t="s">
        <v>66</v>
      </c>
      <c r="D68" s="71" t="str">
        <f t="shared" si="16"/>
        <v>TAN Roundsling (Size 4) ( EN120 ) Vertical WLL: 10600 lbs</v>
      </c>
      <c r="E68" s="71">
        <v>10600</v>
      </c>
      <c r="F68" s="71">
        <v>8500</v>
      </c>
      <c r="G68" s="71">
        <f t="shared" si="17"/>
        <v>21200</v>
      </c>
      <c r="H68" s="459">
        <v>0.88</v>
      </c>
      <c r="I68" s="3">
        <v>1.75</v>
      </c>
      <c r="J68" t="str">
        <f t="shared" si="18"/>
        <v>TAN Roundsling (Size 4) ( EN120 ) Choker rating: 8500 lbs</v>
      </c>
      <c r="K68" s="254">
        <v>4</v>
      </c>
      <c r="M68" s="240">
        <v>4800</v>
      </c>
      <c r="N68" s="239">
        <v>3800</v>
      </c>
      <c r="O68" s="240">
        <f t="shared" si="19"/>
        <v>9600</v>
      </c>
      <c r="P68" s="460">
        <v>22.4</v>
      </c>
      <c r="R68" s="7" t="s">
        <v>1029</v>
      </c>
      <c r="S68" s="7">
        <v>1</v>
      </c>
    </row>
    <row r="69" spans="1:19" x14ac:dyDescent="0.2">
      <c r="A69" s="3">
        <v>46</v>
      </c>
      <c r="B69" s="71" t="s">
        <v>2123</v>
      </c>
      <c r="C69" s="71" t="s">
        <v>67</v>
      </c>
      <c r="D69" s="71" t="str">
        <f t="shared" si="16"/>
        <v>RED Roundsling  (Size 5) ( EN150 ) Vertical WLL: 13200 lbs</v>
      </c>
      <c r="E69" s="71">
        <v>13200</v>
      </c>
      <c r="F69" s="71">
        <v>10600</v>
      </c>
      <c r="G69" s="71">
        <f t="shared" si="17"/>
        <v>26400</v>
      </c>
      <c r="H69" s="459">
        <v>1</v>
      </c>
      <c r="I69" s="3">
        <v>2</v>
      </c>
      <c r="J69" t="str">
        <f t="shared" si="18"/>
        <v>RED Roundsling  (Size 5) ( EN150 ) Choker rating: 10600 lbs</v>
      </c>
      <c r="K69" s="254">
        <v>5</v>
      </c>
      <c r="M69" s="240">
        <v>6000</v>
      </c>
      <c r="N69" s="239">
        <v>4800</v>
      </c>
      <c r="O69" s="240">
        <f t="shared" si="19"/>
        <v>12000</v>
      </c>
      <c r="P69" s="460">
        <v>25.4</v>
      </c>
      <c r="R69" s="7" t="s">
        <v>1029</v>
      </c>
      <c r="S69" s="7">
        <v>1</v>
      </c>
    </row>
    <row r="70" spans="1:19" x14ac:dyDescent="0.2">
      <c r="A70" s="3">
        <v>47</v>
      </c>
      <c r="B70" s="71" t="s">
        <v>2124</v>
      </c>
      <c r="C70" s="71" t="s">
        <v>68</v>
      </c>
      <c r="D70" s="71" t="str">
        <f t="shared" si="16"/>
        <v>WHITE Roundsling (Size 6) ( EN180 ) Vertical WLL: 16800 lbs</v>
      </c>
      <c r="E70" s="71">
        <v>16800</v>
      </c>
      <c r="F70" s="71">
        <v>13400</v>
      </c>
      <c r="G70" s="71">
        <f t="shared" si="17"/>
        <v>33600</v>
      </c>
      <c r="H70" s="459">
        <v>1.1200000000000001</v>
      </c>
      <c r="I70" s="3">
        <v>2.12</v>
      </c>
      <c r="J70" t="str">
        <f t="shared" si="18"/>
        <v>WHITE Roundsling (Size 6) ( EN180 ) Choker rating: 13400 lbs</v>
      </c>
      <c r="K70" s="254">
        <v>6</v>
      </c>
      <c r="M70" s="240">
        <v>7600</v>
      </c>
      <c r="N70" s="239">
        <v>6000</v>
      </c>
      <c r="O70" s="240">
        <f t="shared" si="19"/>
        <v>15200</v>
      </c>
      <c r="P70" s="460">
        <v>28.4</v>
      </c>
      <c r="R70" s="7" t="s">
        <v>1029</v>
      </c>
      <c r="S70" s="7">
        <v>1</v>
      </c>
    </row>
    <row r="71" spans="1:19" x14ac:dyDescent="0.2">
      <c r="A71" s="3">
        <v>48</v>
      </c>
      <c r="B71" s="71" t="s">
        <v>2125</v>
      </c>
      <c r="C71" s="71" t="s">
        <v>81</v>
      </c>
      <c r="D71" s="71" t="str">
        <f t="shared" si="16"/>
        <v>BLUE Roundsling (Size 7) ( EN240 ) Vertical WLL: 21200 lbs</v>
      </c>
      <c r="E71" s="71">
        <v>21200</v>
      </c>
      <c r="F71" s="71">
        <v>17000</v>
      </c>
      <c r="G71" s="71">
        <f t="shared" si="17"/>
        <v>42400</v>
      </c>
      <c r="H71" s="459">
        <v>1.25</v>
      </c>
      <c r="I71" s="3">
        <v>2.62</v>
      </c>
      <c r="J71" t="str">
        <f t="shared" si="18"/>
        <v>BLUE Roundsling (Size 7) ( EN240 ) Choker rating: 17000 lbs</v>
      </c>
      <c r="K71" s="254">
        <v>7</v>
      </c>
      <c r="M71" s="240">
        <v>9600</v>
      </c>
      <c r="N71" s="239">
        <v>7600</v>
      </c>
      <c r="O71" s="240">
        <f t="shared" si="19"/>
        <v>19200</v>
      </c>
      <c r="P71" s="460">
        <v>31.8</v>
      </c>
      <c r="R71" s="7" t="s">
        <v>1029</v>
      </c>
      <c r="S71" s="7">
        <v>1</v>
      </c>
    </row>
    <row r="72" spans="1:19" x14ac:dyDescent="0.2">
      <c r="A72" s="3">
        <v>49</v>
      </c>
      <c r="B72" s="71" t="s">
        <v>2126</v>
      </c>
      <c r="C72" s="71" t="s">
        <v>82</v>
      </c>
      <c r="D72" s="71" t="str">
        <f t="shared" si="16"/>
        <v>ORANGE Roundsling (Size 8) ( EN360 ) Vertical WLL: 25000 lbs</v>
      </c>
      <c r="E72" s="71">
        <v>25000</v>
      </c>
      <c r="F72" s="71">
        <v>20000</v>
      </c>
      <c r="G72" s="71">
        <f t="shared" si="17"/>
        <v>50000</v>
      </c>
      <c r="H72" s="459">
        <v>1.25</v>
      </c>
      <c r="I72" s="3">
        <v>2.88</v>
      </c>
      <c r="J72" t="str">
        <f t="shared" si="18"/>
        <v>ORANGE Roundsling (Size 8) ( EN360 ) Choker rating: 20000 lbs</v>
      </c>
      <c r="K72" s="254">
        <v>8</v>
      </c>
      <c r="M72" s="240">
        <v>11400</v>
      </c>
      <c r="N72" s="239">
        <v>9100</v>
      </c>
      <c r="O72" s="240">
        <f t="shared" si="19"/>
        <v>22800</v>
      </c>
      <c r="P72" s="460">
        <v>31.8</v>
      </c>
      <c r="R72" s="7" t="s">
        <v>1029</v>
      </c>
      <c r="S72" s="7">
        <v>1</v>
      </c>
    </row>
    <row r="73" spans="1:19" x14ac:dyDescent="0.2">
      <c r="A73" s="3">
        <v>50</v>
      </c>
      <c r="B73" s="71" t="s">
        <v>2127</v>
      </c>
      <c r="C73" s="71" t="s">
        <v>83</v>
      </c>
      <c r="D73" s="71" t="str">
        <f t="shared" si="16"/>
        <v>ORANGE Roundsling (Size 9) ( EN600 ) Vertical WLL: 31000 lbs</v>
      </c>
      <c r="E73" s="71">
        <v>31000</v>
      </c>
      <c r="F73" s="71">
        <v>24800</v>
      </c>
      <c r="G73" s="71">
        <f t="shared" si="17"/>
        <v>62000</v>
      </c>
      <c r="H73" s="459">
        <v>1.5</v>
      </c>
      <c r="I73" s="3">
        <v>3.12</v>
      </c>
      <c r="J73" t="str">
        <f t="shared" si="18"/>
        <v>ORANGE Roundsling (Size 9) ( EN600 ) Choker rating: 24800 lbs</v>
      </c>
      <c r="K73" s="254">
        <v>9</v>
      </c>
      <c r="M73" s="240">
        <v>14100</v>
      </c>
      <c r="N73" s="239">
        <v>11300</v>
      </c>
      <c r="O73" s="240">
        <f t="shared" si="19"/>
        <v>28200</v>
      </c>
      <c r="P73" s="460">
        <v>38.1</v>
      </c>
      <c r="R73" s="7" t="s">
        <v>1029</v>
      </c>
      <c r="S73" s="7">
        <v>1</v>
      </c>
    </row>
    <row r="74" spans="1:19" x14ac:dyDescent="0.2">
      <c r="A74" s="3">
        <v>51</v>
      </c>
      <c r="B74" s="71" t="s">
        <v>2128</v>
      </c>
      <c r="C74" s="71" t="s">
        <v>84</v>
      </c>
      <c r="D74" s="71" t="str">
        <f t="shared" si="16"/>
        <v>ORANGE Roundsling (Size 10) ( EN800 ) Vertical WLL: 40000 lbs</v>
      </c>
      <c r="E74" s="71">
        <v>40000</v>
      </c>
      <c r="F74" s="71">
        <v>32000</v>
      </c>
      <c r="G74" s="71">
        <f t="shared" si="17"/>
        <v>80000</v>
      </c>
      <c r="H74" s="459">
        <v>1.62</v>
      </c>
      <c r="I74" s="3">
        <v>3.5</v>
      </c>
      <c r="J74" t="str">
        <f t="shared" si="18"/>
        <v>ORANGE Roundsling (Size 10) ( EN800 ) Choker rating: 32000 lbs</v>
      </c>
      <c r="K74" s="254">
        <v>10</v>
      </c>
      <c r="M74" s="240">
        <v>18200</v>
      </c>
      <c r="N74" s="239">
        <v>14500</v>
      </c>
      <c r="O74" s="240">
        <f t="shared" si="19"/>
        <v>36400</v>
      </c>
      <c r="P74" s="460">
        <v>41.1</v>
      </c>
      <c r="R74" s="7" t="s">
        <v>1029</v>
      </c>
      <c r="S74" s="7">
        <v>1</v>
      </c>
    </row>
    <row r="75" spans="1:19" x14ac:dyDescent="0.2">
      <c r="A75" s="3">
        <v>52</v>
      </c>
      <c r="B75" s="71" t="s">
        <v>2129</v>
      </c>
      <c r="C75" s="71" t="s">
        <v>85</v>
      </c>
      <c r="D75" s="71" t="str">
        <f t="shared" si="16"/>
        <v>ORANGE Roundsling (Size 11) ( EN1000 ) Vertical WLL: 53000 lbs</v>
      </c>
      <c r="E75" s="71">
        <v>53000</v>
      </c>
      <c r="F75" s="71">
        <v>42400</v>
      </c>
      <c r="G75" s="71">
        <f t="shared" si="17"/>
        <v>106000</v>
      </c>
      <c r="H75" s="459">
        <v>1.88</v>
      </c>
      <c r="I75" s="3">
        <v>4</v>
      </c>
      <c r="J75" t="str">
        <f t="shared" si="18"/>
        <v>ORANGE Roundsling (Size 11) ( EN1000 ) Choker rating: 42400 lbs</v>
      </c>
      <c r="K75" s="254">
        <v>11</v>
      </c>
      <c r="M75" s="240">
        <v>24100</v>
      </c>
      <c r="N75" s="239">
        <v>19300</v>
      </c>
      <c r="O75" s="240">
        <f t="shared" si="19"/>
        <v>48200</v>
      </c>
      <c r="P75" s="460">
        <v>47.8</v>
      </c>
      <c r="R75" s="7" t="s">
        <v>1029</v>
      </c>
      <c r="S75" s="7">
        <v>1</v>
      </c>
    </row>
    <row r="76" spans="1:19" x14ac:dyDescent="0.2">
      <c r="A76" s="3">
        <v>53</v>
      </c>
      <c r="B76" s="71" t="s">
        <v>88</v>
      </c>
      <c r="C76" s="71" t="s">
        <v>86</v>
      </c>
      <c r="D76" s="71" t="str">
        <f t="shared" si="16"/>
        <v>ORANGE Roundsling (Size 12) ( WSTDA ) Vertical WLL: 66000 lbs</v>
      </c>
      <c r="E76" s="71">
        <v>66000</v>
      </c>
      <c r="F76" s="71">
        <v>52800</v>
      </c>
      <c r="G76" s="71">
        <f t="shared" si="17"/>
        <v>132000</v>
      </c>
      <c r="H76" s="459">
        <v>2.12</v>
      </c>
      <c r="I76" s="3">
        <v>4.5</v>
      </c>
      <c r="J76" t="str">
        <f t="shared" si="18"/>
        <v>ORANGE Roundsling (Size 12) ( WSTDA ) Choker rating: 52800 lbs</v>
      </c>
      <c r="K76" s="254">
        <v>12</v>
      </c>
      <c r="M76" s="240">
        <v>30000</v>
      </c>
      <c r="N76" s="239">
        <v>2400</v>
      </c>
      <c r="O76" s="240">
        <f t="shared" si="19"/>
        <v>60000</v>
      </c>
      <c r="P76" s="460">
        <v>53.8</v>
      </c>
      <c r="R76" s="7" t="s">
        <v>1029</v>
      </c>
      <c r="S76" s="7">
        <v>1</v>
      </c>
    </row>
    <row r="77" spans="1:19" x14ac:dyDescent="0.2">
      <c r="A77" s="3">
        <v>54</v>
      </c>
      <c r="B77" s="71" t="s">
        <v>88</v>
      </c>
      <c r="C77" s="71" t="s">
        <v>87</v>
      </c>
      <c r="D77" s="71" t="str">
        <f t="shared" si="16"/>
        <v>ORANGE Roundsling (Size 13) ( WSTDA ) Vertical WLL: 90000 lbs</v>
      </c>
      <c r="E77" s="71">
        <v>90000</v>
      </c>
      <c r="F77" s="71">
        <v>72000</v>
      </c>
      <c r="G77" s="71">
        <f t="shared" si="17"/>
        <v>180000</v>
      </c>
      <c r="H77" s="459">
        <v>2.5</v>
      </c>
      <c r="I77" s="3">
        <v>5.12</v>
      </c>
      <c r="J77" t="str">
        <f t="shared" si="18"/>
        <v>ORANGE Roundsling (Size 13) ( WSTDA ) Choker rating: 72000 lbs</v>
      </c>
      <c r="K77" s="254">
        <v>13</v>
      </c>
      <c r="M77" s="240">
        <v>40900</v>
      </c>
      <c r="N77" s="239">
        <v>32700</v>
      </c>
      <c r="O77" s="240">
        <f t="shared" si="19"/>
        <v>81800</v>
      </c>
      <c r="P77" s="460">
        <v>63.5</v>
      </c>
      <c r="R77" s="7" t="s">
        <v>1029</v>
      </c>
      <c r="S77" s="7">
        <v>1</v>
      </c>
    </row>
    <row r="78" spans="1:19" x14ac:dyDescent="0.2">
      <c r="A78" s="3">
        <v>55</v>
      </c>
      <c r="R78" s="7"/>
    </row>
    <row r="79" spans="1:19" x14ac:dyDescent="0.2">
      <c r="A79" s="3">
        <v>56</v>
      </c>
      <c r="R79" s="7"/>
    </row>
    <row r="80" spans="1:19" x14ac:dyDescent="0.2">
      <c r="A80" s="3">
        <v>57</v>
      </c>
      <c r="B80" s="3"/>
      <c r="C80" s="3"/>
      <c r="D80" s="3"/>
      <c r="E80" s="816" t="s">
        <v>721</v>
      </c>
      <c r="F80" s="817"/>
      <c r="G80" s="818"/>
      <c r="H80" s="4"/>
      <c r="K80" s="348" t="s">
        <v>700</v>
      </c>
      <c r="M80" s="996" t="s">
        <v>720</v>
      </c>
      <c r="N80" s="996"/>
      <c r="O80" s="996"/>
      <c r="R80" s="7"/>
    </row>
    <row r="81" spans="1:18" x14ac:dyDescent="0.2">
      <c r="A81" s="3">
        <v>58</v>
      </c>
      <c r="B81" s="3"/>
      <c r="C81" s="3" t="s">
        <v>703</v>
      </c>
      <c r="D81" s="3" t="str">
        <f t="shared" ref="D81:D97" si="20">CONCATENATE(C81," Vertical WLL: ",E81," lbs.")</f>
        <v xml:space="preserve">   1/4" dia.  6x19 Wire Rope Sling - IPS, IWRC, MS Vertical WLL: 1120 lbs.</v>
      </c>
      <c r="E81" s="87">
        <v>1120</v>
      </c>
      <c r="F81" s="3">
        <v>840</v>
      </c>
      <c r="G81" s="87">
        <v>2200</v>
      </c>
      <c r="H81" s="4">
        <v>0.25</v>
      </c>
      <c r="J81" t="str">
        <f t="shared" ref="J81:J97" si="21">CONCATENATE(C81,"  ","Choker rating: ",F81," lbs")</f>
        <v xml:space="preserve">   1/4" dia.  6x19 Wire Rope Sling - IPS, IWRC, MS  Choker rating: 840 lbs</v>
      </c>
      <c r="K81">
        <v>1</v>
      </c>
      <c r="M81">
        <v>508</v>
      </c>
      <c r="N81">
        <v>381</v>
      </c>
      <c r="O81">
        <v>998</v>
      </c>
      <c r="R81" s="7" t="s">
        <v>1030</v>
      </c>
    </row>
    <row r="82" spans="1:18" x14ac:dyDescent="0.2">
      <c r="A82" s="3">
        <v>59</v>
      </c>
      <c r="B82" s="3"/>
      <c r="C82" s="3" t="s">
        <v>704</v>
      </c>
      <c r="D82" s="3" t="str">
        <f t="shared" si="20"/>
        <v xml:space="preserve">  5/16" dia.  6x19 Wire Rope Sling - IPS, IWRC, MS Vertical WLL: 1740 lbs.</v>
      </c>
      <c r="E82" s="87">
        <v>1740</v>
      </c>
      <c r="F82" s="87">
        <v>1300</v>
      </c>
      <c r="G82" s="87">
        <v>3400</v>
      </c>
      <c r="H82" s="4">
        <v>0.3125</v>
      </c>
      <c r="J82" t="str">
        <f t="shared" si="21"/>
        <v xml:space="preserve">  5/16" dia.  6x19 Wire Rope Sling - IPS, IWRC, MS  Choker rating: 1300 lbs</v>
      </c>
      <c r="K82">
        <v>2</v>
      </c>
      <c r="M82">
        <v>789</v>
      </c>
      <c r="N82">
        <v>590</v>
      </c>
      <c r="O82" s="258">
        <v>1542</v>
      </c>
      <c r="R82" s="7" t="s">
        <v>1030</v>
      </c>
    </row>
    <row r="83" spans="1:18" x14ac:dyDescent="0.2">
      <c r="A83" s="3">
        <v>60</v>
      </c>
      <c r="B83" s="3"/>
      <c r="C83" s="3" t="s">
        <v>705</v>
      </c>
      <c r="D83" s="3" t="str">
        <f t="shared" si="20"/>
        <v xml:space="preserve">   3/8" dia.  6x19 Wire Rope Sling - IPS, IWRC, MS Vertical WLL: 2400 lbs.</v>
      </c>
      <c r="E83" s="87">
        <v>2400</v>
      </c>
      <c r="F83" s="87">
        <v>1860</v>
      </c>
      <c r="G83" s="87">
        <v>5000</v>
      </c>
      <c r="H83" s="4">
        <v>0.375</v>
      </c>
      <c r="J83" t="str">
        <f t="shared" si="21"/>
        <v xml:space="preserve">   3/8" dia.  6x19 Wire Rope Sling - IPS, IWRC, MS  Choker rating: 1860 lbs</v>
      </c>
      <c r="K83">
        <v>3</v>
      </c>
      <c r="M83" s="258">
        <v>1089</v>
      </c>
      <c r="N83">
        <v>844</v>
      </c>
      <c r="O83" s="258">
        <v>2268</v>
      </c>
      <c r="R83" s="7" t="s">
        <v>1030</v>
      </c>
    </row>
    <row r="84" spans="1:18" x14ac:dyDescent="0.2">
      <c r="A84" s="3">
        <v>61</v>
      </c>
      <c r="B84" s="3"/>
      <c r="C84" s="3" t="s">
        <v>706</v>
      </c>
      <c r="D84" s="3" t="str">
        <f t="shared" si="20"/>
        <v xml:space="preserve">  7/16" dia.  6x19 Wire Rope Sling - IPS, IWRC, MS Vertical WLL: 3400 lbs.</v>
      </c>
      <c r="E84" s="87">
        <v>3400</v>
      </c>
      <c r="F84" s="87">
        <v>2600</v>
      </c>
      <c r="G84" s="87">
        <v>6800</v>
      </c>
      <c r="H84" s="4">
        <v>0.4375</v>
      </c>
      <c r="J84" t="str">
        <f t="shared" si="21"/>
        <v xml:space="preserve">  7/16" dia.  6x19 Wire Rope Sling - IPS, IWRC, MS  Choker rating: 2600 lbs</v>
      </c>
      <c r="K84">
        <v>4</v>
      </c>
      <c r="M84" s="258">
        <v>1542</v>
      </c>
      <c r="N84" s="258">
        <v>1179</v>
      </c>
      <c r="O84" s="258">
        <v>3084</v>
      </c>
      <c r="R84" s="7" t="s">
        <v>1030</v>
      </c>
    </row>
    <row r="85" spans="1:18" x14ac:dyDescent="0.2">
      <c r="A85" s="3">
        <v>62</v>
      </c>
      <c r="B85" s="3"/>
      <c r="C85" s="3" t="s">
        <v>707</v>
      </c>
      <c r="D85" s="3" t="str">
        <f t="shared" si="20"/>
        <v xml:space="preserve">   1/2" dia.  6x19 Wire Rope Sling - IPS, IWRC, MS Vertical WLL: 4400 lbs.</v>
      </c>
      <c r="E85" s="87">
        <v>4400</v>
      </c>
      <c r="F85" s="87">
        <v>3200</v>
      </c>
      <c r="G85" s="87">
        <v>8800</v>
      </c>
      <c r="H85" s="4">
        <v>0.5</v>
      </c>
      <c r="J85" t="str">
        <f t="shared" si="21"/>
        <v xml:space="preserve">   1/2" dia.  6x19 Wire Rope Sling - IPS, IWRC, MS  Choker rating: 3200 lbs</v>
      </c>
      <c r="K85">
        <v>5</v>
      </c>
      <c r="M85" s="258">
        <v>1996</v>
      </c>
      <c r="N85" s="258">
        <v>1451</v>
      </c>
      <c r="O85" s="258">
        <v>3992</v>
      </c>
      <c r="R85" s="7" t="s">
        <v>1030</v>
      </c>
    </row>
    <row r="86" spans="1:18" x14ac:dyDescent="0.2">
      <c r="A86" s="3">
        <v>63</v>
      </c>
      <c r="B86" s="3"/>
      <c r="C86" s="3" t="s">
        <v>708</v>
      </c>
      <c r="D86" s="3" t="str">
        <f t="shared" si="20"/>
        <v xml:space="preserve">  9/16" dia.  6x19 Wire Rope Sling - IPS, IWRC, MS Vertical WLL: 5400 lbs.</v>
      </c>
      <c r="E86" s="87">
        <v>5400</v>
      </c>
      <c r="F86" s="87">
        <v>4200</v>
      </c>
      <c r="G86" s="87">
        <v>11000</v>
      </c>
      <c r="H86" s="4">
        <v>0.5625</v>
      </c>
      <c r="J86" t="str">
        <f t="shared" si="21"/>
        <v xml:space="preserve">  9/16" dia.  6x19 Wire Rope Sling - IPS, IWRC, MS  Choker rating: 4200 lbs</v>
      </c>
      <c r="K86">
        <v>6</v>
      </c>
      <c r="M86" s="258">
        <v>2449</v>
      </c>
      <c r="N86" s="258">
        <v>1905</v>
      </c>
      <c r="O86" s="258">
        <v>4990</v>
      </c>
      <c r="R86" s="7" t="s">
        <v>1030</v>
      </c>
    </row>
    <row r="87" spans="1:18" x14ac:dyDescent="0.2">
      <c r="A87" s="3">
        <v>64</v>
      </c>
      <c r="B87" s="3"/>
      <c r="C87" s="3" t="s">
        <v>710</v>
      </c>
      <c r="D87" s="3" t="str">
        <f t="shared" si="20"/>
        <v xml:space="preserve">   5/8" dia.  6x19 Wire Rope Sling - IPS, IWRC, MS Vertical WLL: 6800 lbs.</v>
      </c>
      <c r="E87" s="87">
        <v>6800</v>
      </c>
      <c r="F87" s="87">
        <v>5000</v>
      </c>
      <c r="G87" s="87">
        <v>13600</v>
      </c>
      <c r="H87" s="4">
        <v>0.625</v>
      </c>
      <c r="J87" t="str">
        <f t="shared" si="21"/>
        <v xml:space="preserve">   5/8" dia.  6x19 Wire Rope Sling - IPS, IWRC, MS  Choker rating: 5000 lbs</v>
      </c>
      <c r="K87">
        <v>7</v>
      </c>
      <c r="M87" s="258">
        <v>3084</v>
      </c>
      <c r="N87" s="258">
        <v>2268</v>
      </c>
      <c r="O87" s="258">
        <v>6169</v>
      </c>
      <c r="R87" s="7" t="s">
        <v>1030</v>
      </c>
    </row>
    <row r="88" spans="1:18" x14ac:dyDescent="0.2">
      <c r="A88" s="3">
        <v>65</v>
      </c>
      <c r="B88" s="3"/>
      <c r="C88" s="3" t="s">
        <v>711</v>
      </c>
      <c r="D88" s="3" t="str">
        <f t="shared" si="20"/>
        <v xml:space="preserve">   3/4" dia.  6x19 Wire Rope Sling - IPS, IWRC, MS Vertical WLL: 9800 lbs.</v>
      </c>
      <c r="E88" s="87">
        <v>9800</v>
      </c>
      <c r="F88" s="87">
        <v>7200</v>
      </c>
      <c r="G88" s="87">
        <v>19400</v>
      </c>
      <c r="H88" s="4">
        <v>0.75</v>
      </c>
      <c r="J88" t="str">
        <f t="shared" si="21"/>
        <v xml:space="preserve">   3/4" dia.  6x19 Wire Rope Sling - IPS, IWRC, MS  Choker rating: 7200 lbs</v>
      </c>
      <c r="K88">
        <v>8</v>
      </c>
      <c r="M88" s="258">
        <v>4445</v>
      </c>
      <c r="N88" s="258">
        <v>3266</v>
      </c>
      <c r="O88" s="258">
        <v>8800</v>
      </c>
      <c r="R88" s="7" t="s">
        <v>1030</v>
      </c>
    </row>
    <row r="89" spans="1:18" x14ac:dyDescent="0.2">
      <c r="A89" s="3">
        <v>66</v>
      </c>
      <c r="B89" s="3"/>
      <c r="C89" s="3" t="s">
        <v>712</v>
      </c>
      <c r="D89" s="3" t="str">
        <f t="shared" si="20"/>
        <v xml:space="preserve">   7/8" dia.  6x19 Wire Rope Sling - IPS, IWRC, MS Vertical WLL: 13200 lbs.</v>
      </c>
      <c r="E89" s="87">
        <v>13200</v>
      </c>
      <c r="F89" s="87">
        <v>9800</v>
      </c>
      <c r="G89" s="87">
        <v>26000</v>
      </c>
      <c r="H89" s="4">
        <v>0.875</v>
      </c>
      <c r="J89" t="str">
        <f t="shared" si="21"/>
        <v xml:space="preserve">   7/8" dia.  6x19 Wire Rope Sling - IPS, IWRC, MS  Choker rating: 9800 lbs</v>
      </c>
      <c r="K89">
        <v>9</v>
      </c>
      <c r="M89" s="258">
        <v>5987</v>
      </c>
      <c r="N89" s="258">
        <v>4445</v>
      </c>
      <c r="O89" s="258">
        <v>11793</v>
      </c>
      <c r="R89" s="7" t="s">
        <v>1030</v>
      </c>
    </row>
    <row r="90" spans="1:18" x14ac:dyDescent="0.2">
      <c r="A90" s="3">
        <v>67</v>
      </c>
      <c r="B90" s="3"/>
      <c r="C90" s="3" t="s">
        <v>713</v>
      </c>
      <c r="D90" s="3" t="str">
        <f t="shared" si="20"/>
        <v>1" dia.  6x19 Wire Rope Sling - IPS, IWRC, MS Vertical WLL: 17000 lbs.</v>
      </c>
      <c r="E90" s="87">
        <v>17000</v>
      </c>
      <c r="F90" s="87">
        <v>12800</v>
      </c>
      <c r="G90" s="87">
        <v>34000</v>
      </c>
      <c r="H90" s="4">
        <v>1</v>
      </c>
      <c r="J90" t="str">
        <f t="shared" si="21"/>
        <v>1" dia.  6x19 Wire Rope Sling - IPS, IWRC, MS  Choker rating: 12800 lbs</v>
      </c>
      <c r="K90">
        <v>10</v>
      </c>
      <c r="M90" s="258">
        <v>7711</v>
      </c>
      <c r="N90" s="258">
        <v>5806</v>
      </c>
      <c r="O90" s="258">
        <v>15422</v>
      </c>
      <c r="R90" s="7" t="s">
        <v>1030</v>
      </c>
    </row>
    <row r="91" spans="1:18" x14ac:dyDescent="0.2">
      <c r="A91" s="3">
        <v>68</v>
      </c>
      <c r="B91" s="3"/>
      <c r="C91" s="3" t="s">
        <v>714</v>
      </c>
      <c r="D91" s="3" t="str">
        <f t="shared" si="20"/>
        <v>1-1/8" dia.  6x19 Wire Rope Sling - IPS, IWRC, MS Vertical WLL: 20000 lbs.</v>
      </c>
      <c r="E91" s="87">
        <v>20000</v>
      </c>
      <c r="F91" s="87">
        <v>15600</v>
      </c>
      <c r="G91" s="87">
        <v>42000</v>
      </c>
      <c r="H91" s="4">
        <v>1.1299999999999999</v>
      </c>
      <c r="J91" t="str">
        <f t="shared" si="21"/>
        <v>1-1/8" dia.  6x19 Wire Rope Sling - IPS, IWRC, MS  Choker rating: 15600 lbs</v>
      </c>
      <c r="K91">
        <v>11</v>
      </c>
      <c r="M91" s="258">
        <v>9072</v>
      </c>
      <c r="N91" s="258">
        <v>7076</v>
      </c>
      <c r="O91" s="258">
        <v>19051</v>
      </c>
      <c r="R91" s="7" t="s">
        <v>1030</v>
      </c>
    </row>
    <row r="92" spans="1:18" x14ac:dyDescent="0.2">
      <c r="A92" s="3">
        <v>69</v>
      </c>
      <c r="B92" s="3"/>
      <c r="C92" s="3" t="s">
        <v>715</v>
      </c>
      <c r="D92" s="3" t="str">
        <f t="shared" si="20"/>
        <v>1-1/4" dia.  6x37 Wire Rope Sling - IPS, IWRC, MS Vertical WLL: 24000 lbs.</v>
      </c>
      <c r="E92" s="87">
        <v>24000</v>
      </c>
      <c r="F92" s="87">
        <v>18400</v>
      </c>
      <c r="G92" s="87">
        <v>48000</v>
      </c>
      <c r="H92" s="4">
        <v>1.25</v>
      </c>
      <c r="J92" t="str">
        <f t="shared" si="21"/>
        <v>1-1/4" dia.  6x37 Wire Rope Sling - IPS, IWRC, MS  Choker rating: 18400 lbs</v>
      </c>
      <c r="K92">
        <v>12</v>
      </c>
      <c r="M92" s="258">
        <v>10886</v>
      </c>
      <c r="N92" s="258">
        <v>8346</v>
      </c>
      <c r="O92" s="258">
        <v>21772</v>
      </c>
      <c r="R92" s="7" t="s">
        <v>1030</v>
      </c>
    </row>
    <row r="93" spans="1:18" x14ac:dyDescent="0.2">
      <c r="A93" s="3">
        <v>70</v>
      </c>
      <c r="B93" s="3"/>
      <c r="C93" s="3" t="s">
        <v>716</v>
      </c>
      <c r="D93" s="3" t="str">
        <f t="shared" si="20"/>
        <v>1-3/8" dia.  6x37 Wire Rope Sling - IPS, IWRC, MS Vertical WLL: 30000 lbs.</v>
      </c>
      <c r="E93" s="87">
        <v>30000</v>
      </c>
      <c r="F93" s="87">
        <v>22000</v>
      </c>
      <c r="G93" s="87">
        <v>58000</v>
      </c>
      <c r="H93" s="4">
        <v>1.375</v>
      </c>
      <c r="J93" t="str">
        <f t="shared" si="21"/>
        <v>1-3/8" dia.  6x37 Wire Rope Sling - IPS, IWRC, MS  Choker rating: 22000 lbs</v>
      </c>
      <c r="K93">
        <v>13</v>
      </c>
      <c r="M93" s="258">
        <v>13608</v>
      </c>
      <c r="N93" s="258">
        <v>9979</v>
      </c>
      <c r="O93" s="258">
        <v>26308</v>
      </c>
      <c r="R93" s="7" t="s">
        <v>1030</v>
      </c>
    </row>
    <row r="94" spans="1:18" x14ac:dyDescent="0.2">
      <c r="A94" s="3">
        <v>71</v>
      </c>
      <c r="B94" s="3"/>
      <c r="C94" s="3" t="s">
        <v>1778</v>
      </c>
      <c r="D94" s="3" t="str">
        <f t="shared" si="20"/>
        <v>1-1/2" dia.  6x37 Wire Rope Sling - IPS, IWRC, MS Vertical WLL: 34000 lbs.</v>
      </c>
      <c r="E94" s="87">
        <v>34000</v>
      </c>
      <c r="F94" s="87">
        <v>26000</v>
      </c>
      <c r="G94" s="87">
        <v>70000</v>
      </c>
      <c r="H94" s="4">
        <v>1.5</v>
      </c>
      <c r="J94" t="str">
        <f t="shared" si="21"/>
        <v>1-1/2" dia.  6x37 Wire Rope Sling - IPS, IWRC, MS  Choker rating: 26000 lbs</v>
      </c>
      <c r="K94">
        <v>14</v>
      </c>
      <c r="M94" s="258">
        <v>15422</v>
      </c>
      <c r="N94" s="258">
        <v>11793</v>
      </c>
      <c r="O94" s="258">
        <v>31751</v>
      </c>
      <c r="R94" s="7" t="s">
        <v>1030</v>
      </c>
    </row>
    <row r="95" spans="1:18" x14ac:dyDescent="0.2">
      <c r="A95" s="3">
        <v>72</v>
      </c>
      <c r="B95" s="3"/>
      <c r="C95" s="3" t="s">
        <v>717</v>
      </c>
      <c r="D95" s="3" t="str">
        <f t="shared" si="20"/>
        <v>1-5/8" dia.  6x37 Wire Rope Sling - IPS, IWRC, MS Vertical WLL: 40000 lbs.</v>
      </c>
      <c r="E95" s="87">
        <v>40000</v>
      </c>
      <c r="F95" s="87">
        <v>30000</v>
      </c>
      <c r="G95" s="87">
        <v>82000</v>
      </c>
      <c r="H95" s="4">
        <v>1.63</v>
      </c>
      <c r="J95" t="str">
        <f t="shared" si="21"/>
        <v>1-5/8" dia.  6x37 Wire Rope Sling - IPS, IWRC, MS  Choker rating: 30000 lbs</v>
      </c>
      <c r="K95">
        <v>15</v>
      </c>
      <c r="M95" s="258">
        <v>18144</v>
      </c>
      <c r="N95" s="258">
        <v>13608</v>
      </c>
      <c r="O95" s="258">
        <v>37195</v>
      </c>
      <c r="R95" s="7" t="s">
        <v>1030</v>
      </c>
    </row>
    <row r="96" spans="1:18" x14ac:dyDescent="0.2">
      <c r="A96" s="3">
        <v>73</v>
      </c>
      <c r="B96" s="3"/>
      <c r="C96" s="3" t="s">
        <v>718</v>
      </c>
      <c r="D96" s="3" t="str">
        <f t="shared" si="20"/>
        <v>1-3/4" dia.  6x37 Wire Rope Sling - IPS, IWRC, MS Vertical WLL: 48000 lbs.</v>
      </c>
      <c r="E96" s="87">
        <v>48000</v>
      </c>
      <c r="F96" s="87">
        <v>36000</v>
      </c>
      <c r="G96" s="87">
        <v>94000</v>
      </c>
      <c r="H96" s="4">
        <v>1.75</v>
      </c>
      <c r="J96" t="str">
        <f t="shared" si="21"/>
        <v>1-3/4" dia.  6x37 Wire Rope Sling - IPS, IWRC, MS  Choker rating: 36000 lbs</v>
      </c>
      <c r="K96">
        <v>16</v>
      </c>
      <c r="M96" s="258">
        <v>21772</v>
      </c>
      <c r="N96" s="258">
        <v>16329</v>
      </c>
      <c r="O96" s="258">
        <v>42638</v>
      </c>
      <c r="R96" s="7" t="s">
        <v>1030</v>
      </c>
    </row>
    <row r="97" spans="1:18" x14ac:dyDescent="0.2">
      <c r="A97" s="3">
        <v>74</v>
      </c>
      <c r="B97" s="3"/>
      <c r="C97" s="3" t="s">
        <v>719</v>
      </c>
      <c r="D97" s="3" t="str">
        <f t="shared" si="20"/>
        <v>2" dia.  6x37 Wire Rope Sling - IPS, IWRC, MS Vertical WLL: 60000 lbs.</v>
      </c>
      <c r="E97" s="87">
        <v>60000</v>
      </c>
      <c r="F97" s="87">
        <v>46000</v>
      </c>
      <c r="G97" s="87">
        <v>122000</v>
      </c>
      <c r="H97" s="4">
        <v>1.88</v>
      </c>
      <c r="J97" t="str">
        <f t="shared" si="21"/>
        <v>2" dia.  6x37 Wire Rope Sling - IPS, IWRC, MS  Choker rating: 46000 lbs</v>
      </c>
      <c r="K97">
        <v>17</v>
      </c>
      <c r="M97" s="258">
        <v>27216</v>
      </c>
      <c r="N97" s="258">
        <v>20865</v>
      </c>
      <c r="O97" s="258">
        <v>55338</v>
      </c>
      <c r="R97" s="7" t="s">
        <v>1030</v>
      </c>
    </row>
    <row r="98" spans="1:18" x14ac:dyDescent="0.2">
      <c r="A98" s="3">
        <v>75</v>
      </c>
      <c r="B98" s="3"/>
      <c r="C98" s="3"/>
      <c r="D98" s="3"/>
      <c r="E98" s="3"/>
      <c r="F98" s="3"/>
      <c r="G98" s="3"/>
      <c r="H98" s="4"/>
      <c r="R98" s="7"/>
    </row>
    <row r="99" spans="1:18" x14ac:dyDescent="0.2">
      <c r="A99" s="3">
        <v>76</v>
      </c>
      <c r="C99" s="995" t="s">
        <v>1026</v>
      </c>
      <c r="D99" s="995"/>
      <c r="E99" s="74"/>
      <c r="F99" s="74"/>
      <c r="G99" s="74"/>
      <c r="H99" s="467" t="s">
        <v>1781</v>
      </c>
      <c r="I99" s="467" t="s">
        <v>1782</v>
      </c>
      <c r="K99" s="348" t="s">
        <v>700</v>
      </c>
      <c r="M99" s="996" t="s">
        <v>720</v>
      </c>
      <c r="N99" s="996"/>
      <c r="O99" s="996"/>
      <c r="P99" s="467" t="s">
        <v>1786</v>
      </c>
      <c r="Q99" s="467" t="s">
        <v>1787</v>
      </c>
      <c r="R99" s="7"/>
    </row>
    <row r="100" spans="1:18" x14ac:dyDescent="0.2">
      <c r="A100" s="3">
        <v>91</v>
      </c>
      <c r="B100" s="3"/>
      <c r="C100" s="3"/>
      <c r="D100" s="3" t="s">
        <v>2131</v>
      </c>
      <c r="E100" s="88">
        <v>10000</v>
      </c>
      <c r="F100" s="87">
        <v>8000</v>
      </c>
      <c r="G100" s="87">
        <v>20000</v>
      </c>
      <c r="H100" s="2">
        <v>1.5</v>
      </c>
      <c r="I100" s="7">
        <v>3</v>
      </c>
      <c r="J100" t="s">
        <v>1710</v>
      </c>
      <c r="K100">
        <v>1</v>
      </c>
      <c r="M100" s="239">
        <v>4536</v>
      </c>
      <c r="N100" s="239">
        <v>3629</v>
      </c>
      <c r="O100" s="239">
        <v>9072</v>
      </c>
      <c r="P100" s="7">
        <f t="shared" ref="P100:P117" si="22">(H100*25.4/10)</f>
        <v>3.8099999999999996</v>
      </c>
      <c r="Q100" s="7">
        <f t="shared" ref="Q100:Q117" si="23">(I100*25.4/10)</f>
        <v>7.6199999999999992</v>
      </c>
      <c r="R100" s="7" t="s">
        <v>1031</v>
      </c>
    </row>
    <row r="101" spans="1:18" x14ac:dyDescent="0.2">
      <c r="A101" s="3">
        <v>92</v>
      </c>
      <c r="B101" s="3"/>
      <c r="C101" s="3"/>
      <c r="D101" s="3" t="s">
        <v>2132</v>
      </c>
      <c r="E101" s="88">
        <v>15000</v>
      </c>
      <c r="F101" s="87">
        <v>12000</v>
      </c>
      <c r="G101" s="87">
        <v>30000</v>
      </c>
      <c r="H101" s="2">
        <v>1.5</v>
      </c>
      <c r="I101" s="7">
        <v>3</v>
      </c>
      <c r="J101" t="s">
        <v>1710</v>
      </c>
      <c r="K101">
        <v>2</v>
      </c>
      <c r="M101" s="239">
        <v>6804</v>
      </c>
      <c r="N101" s="239">
        <v>5443</v>
      </c>
      <c r="O101" s="239">
        <v>13608</v>
      </c>
      <c r="P101" s="7">
        <f t="shared" si="22"/>
        <v>3.8099999999999996</v>
      </c>
      <c r="Q101" s="7">
        <f t="shared" si="23"/>
        <v>7.6199999999999992</v>
      </c>
      <c r="R101" s="7" t="s">
        <v>1031</v>
      </c>
    </row>
    <row r="102" spans="1:18" x14ac:dyDescent="0.2">
      <c r="A102" s="3">
        <v>93</v>
      </c>
      <c r="B102" s="3"/>
      <c r="C102" s="3"/>
      <c r="D102" s="3" t="s">
        <v>2133</v>
      </c>
      <c r="E102" s="88">
        <v>20000</v>
      </c>
      <c r="F102" s="87">
        <v>16000</v>
      </c>
      <c r="G102" s="87">
        <v>40000</v>
      </c>
      <c r="H102" s="2">
        <v>1.5</v>
      </c>
      <c r="I102" s="7">
        <v>3</v>
      </c>
      <c r="J102" t="s">
        <v>1710</v>
      </c>
      <c r="K102">
        <v>3</v>
      </c>
      <c r="M102" s="239">
        <v>9072</v>
      </c>
      <c r="N102" s="239">
        <v>7257</v>
      </c>
      <c r="O102" s="239">
        <v>18144</v>
      </c>
      <c r="P102" s="7">
        <f t="shared" si="22"/>
        <v>3.8099999999999996</v>
      </c>
      <c r="Q102" s="7">
        <f t="shared" si="23"/>
        <v>7.6199999999999992</v>
      </c>
      <c r="R102" s="7" t="s">
        <v>1031</v>
      </c>
    </row>
    <row r="103" spans="1:18" x14ac:dyDescent="0.2">
      <c r="A103" s="3">
        <v>94</v>
      </c>
      <c r="B103" s="3"/>
      <c r="C103" s="3"/>
      <c r="D103" s="3" t="s">
        <v>2134</v>
      </c>
      <c r="E103" s="88">
        <v>25000</v>
      </c>
      <c r="F103" s="87">
        <v>20000</v>
      </c>
      <c r="G103" s="87">
        <v>50000</v>
      </c>
      <c r="H103" s="2">
        <v>2</v>
      </c>
      <c r="I103" s="7">
        <v>4</v>
      </c>
      <c r="J103" t="s">
        <v>1710</v>
      </c>
      <c r="K103">
        <v>4</v>
      </c>
      <c r="M103" s="239">
        <v>11340</v>
      </c>
      <c r="N103" s="239">
        <v>9072</v>
      </c>
      <c r="O103" s="239">
        <v>22680</v>
      </c>
      <c r="P103" s="7">
        <f t="shared" si="22"/>
        <v>5.08</v>
      </c>
      <c r="Q103" s="7">
        <f t="shared" si="23"/>
        <v>10.16</v>
      </c>
      <c r="R103" s="7" t="s">
        <v>1031</v>
      </c>
    </row>
    <row r="104" spans="1:18" x14ac:dyDescent="0.2">
      <c r="A104" s="3">
        <v>95</v>
      </c>
      <c r="B104" s="3"/>
      <c r="C104" s="3"/>
      <c r="D104" s="3" t="s">
        <v>2135</v>
      </c>
      <c r="E104" s="88">
        <v>30000</v>
      </c>
      <c r="F104" s="87">
        <v>24000</v>
      </c>
      <c r="G104" s="87">
        <v>60000</v>
      </c>
      <c r="H104" s="2">
        <v>2</v>
      </c>
      <c r="I104" s="7">
        <v>4</v>
      </c>
      <c r="J104" t="s">
        <v>1710</v>
      </c>
      <c r="K104">
        <v>5</v>
      </c>
      <c r="M104" s="239">
        <v>13608</v>
      </c>
      <c r="N104" s="239">
        <v>10886</v>
      </c>
      <c r="O104" s="239">
        <v>27216</v>
      </c>
      <c r="P104" s="7">
        <f t="shared" si="22"/>
        <v>5.08</v>
      </c>
      <c r="Q104" s="7">
        <f t="shared" si="23"/>
        <v>10.16</v>
      </c>
      <c r="R104" s="7" t="s">
        <v>1031</v>
      </c>
    </row>
    <row r="105" spans="1:18" x14ac:dyDescent="0.2">
      <c r="A105" s="3">
        <v>96</v>
      </c>
      <c r="B105" s="3"/>
      <c r="C105" s="3"/>
      <c r="D105" s="3" t="s">
        <v>2136</v>
      </c>
      <c r="E105" s="88">
        <v>40000</v>
      </c>
      <c r="F105" s="87">
        <v>32000</v>
      </c>
      <c r="G105" s="87">
        <v>80000</v>
      </c>
      <c r="H105" s="2">
        <v>2.5</v>
      </c>
      <c r="I105" s="7">
        <v>5</v>
      </c>
      <c r="J105" t="s">
        <v>1710</v>
      </c>
      <c r="K105">
        <v>6</v>
      </c>
      <c r="M105" s="239">
        <v>18144</v>
      </c>
      <c r="N105" s="239">
        <v>14515</v>
      </c>
      <c r="O105" s="239">
        <v>36287</v>
      </c>
      <c r="P105" s="7">
        <f t="shared" si="22"/>
        <v>6.35</v>
      </c>
      <c r="Q105" s="7">
        <f t="shared" si="23"/>
        <v>12.7</v>
      </c>
      <c r="R105" s="7" t="s">
        <v>1031</v>
      </c>
    </row>
    <row r="106" spans="1:18" x14ac:dyDescent="0.2">
      <c r="A106" s="3">
        <v>97</v>
      </c>
      <c r="B106" s="3"/>
      <c r="C106" s="3"/>
      <c r="D106" s="3" t="s">
        <v>2137</v>
      </c>
      <c r="E106" s="88">
        <v>50000</v>
      </c>
      <c r="F106" s="87">
        <v>40000</v>
      </c>
      <c r="G106" s="87">
        <v>100000</v>
      </c>
      <c r="H106" s="2">
        <v>2.5</v>
      </c>
      <c r="I106" s="7">
        <v>5</v>
      </c>
      <c r="J106" t="s">
        <v>1710</v>
      </c>
      <c r="K106">
        <v>7</v>
      </c>
      <c r="M106" s="239">
        <v>22680</v>
      </c>
      <c r="N106" s="239">
        <v>18144</v>
      </c>
      <c r="O106" s="239">
        <v>45359</v>
      </c>
      <c r="P106" s="7">
        <f t="shared" si="22"/>
        <v>6.35</v>
      </c>
      <c r="Q106" s="7">
        <f t="shared" si="23"/>
        <v>12.7</v>
      </c>
      <c r="R106" s="7" t="s">
        <v>1031</v>
      </c>
    </row>
    <row r="107" spans="1:18" x14ac:dyDescent="0.2">
      <c r="A107" s="3">
        <v>98</v>
      </c>
      <c r="B107" s="3"/>
      <c r="C107" s="3"/>
      <c r="D107" s="3" t="s">
        <v>2138</v>
      </c>
      <c r="E107" s="88">
        <v>60000</v>
      </c>
      <c r="F107" s="87">
        <v>48000</v>
      </c>
      <c r="G107" s="87">
        <v>120000</v>
      </c>
      <c r="H107" s="2">
        <v>2.5</v>
      </c>
      <c r="I107" s="7">
        <v>6</v>
      </c>
      <c r="J107" t="s">
        <v>1710</v>
      </c>
      <c r="K107">
        <v>8</v>
      </c>
      <c r="M107" s="239">
        <v>27216</v>
      </c>
      <c r="N107" s="239">
        <v>21772</v>
      </c>
      <c r="O107" s="239">
        <v>54431</v>
      </c>
      <c r="P107" s="7">
        <f t="shared" si="22"/>
        <v>6.35</v>
      </c>
      <c r="Q107" s="7">
        <f t="shared" si="23"/>
        <v>15.239999999999998</v>
      </c>
      <c r="R107" s="7" t="s">
        <v>1031</v>
      </c>
    </row>
    <row r="108" spans="1:18" x14ac:dyDescent="0.2">
      <c r="A108" s="3">
        <v>99</v>
      </c>
      <c r="B108" s="3"/>
      <c r="C108" s="3"/>
      <c r="D108" s="3" t="s">
        <v>2139</v>
      </c>
      <c r="E108" s="88">
        <v>70000</v>
      </c>
      <c r="F108" s="87">
        <v>56000</v>
      </c>
      <c r="G108" s="87">
        <v>140000</v>
      </c>
      <c r="H108" s="2">
        <v>3</v>
      </c>
      <c r="I108" s="7">
        <v>6</v>
      </c>
      <c r="J108" t="s">
        <v>1710</v>
      </c>
      <c r="K108">
        <v>9</v>
      </c>
      <c r="M108" s="239">
        <v>31751</v>
      </c>
      <c r="N108" s="239">
        <v>25401</v>
      </c>
      <c r="O108" s="239">
        <v>63503</v>
      </c>
      <c r="P108" s="7">
        <f t="shared" si="22"/>
        <v>7.6199999999999992</v>
      </c>
      <c r="Q108" s="7">
        <f t="shared" si="23"/>
        <v>15.239999999999998</v>
      </c>
      <c r="R108" s="7" t="s">
        <v>1031</v>
      </c>
    </row>
    <row r="109" spans="1:18" x14ac:dyDescent="0.2">
      <c r="A109" s="3">
        <v>100</v>
      </c>
      <c r="B109" s="3"/>
      <c r="C109" s="3"/>
      <c r="D109" s="3" t="s">
        <v>2140</v>
      </c>
      <c r="E109" s="88">
        <v>85000</v>
      </c>
      <c r="F109" s="87">
        <v>68000</v>
      </c>
      <c r="G109" s="87">
        <v>170000</v>
      </c>
      <c r="H109" s="2">
        <v>3</v>
      </c>
      <c r="I109" s="7">
        <v>6</v>
      </c>
      <c r="J109" t="s">
        <v>1710</v>
      </c>
      <c r="K109">
        <v>10</v>
      </c>
      <c r="M109" s="239">
        <v>38555</v>
      </c>
      <c r="N109" s="239">
        <v>30844</v>
      </c>
      <c r="O109" s="239">
        <v>77111</v>
      </c>
      <c r="P109" s="7">
        <f t="shared" si="22"/>
        <v>7.6199999999999992</v>
      </c>
      <c r="Q109" s="7">
        <f t="shared" si="23"/>
        <v>15.239999999999998</v>
      </c>
      <c r="R109" s="7" t="s">
        <v>1031</v>
      </c>
    </row>
    <row r="110" spans="1:18" x14ac:dyDescent="0.2">
      <c r="A110" s="3">
        <v>101</v>
      </c>
      <c r="B110" s="3"/>
      <c r="C110" s="3"/>
      <c r="D110" s="3" t="s">
        <v>0</v>
      </c>
      <c r="E110" s="88">
        <v>100000</v>
      </c>
      <c r="F110" s="87">
        <v>80000</v>
      </c>
      <c r="G110" s="87">
        <v>200000</v>
      </c>
      <c r="H110" s="2">
        <v>3</v>
      </c>
      <c r="I110" s="7">
        <v>6</v>
      </c>
      <c r="J110" t="s">
        <v>1710</v>
      </c>
      <c r="K110">
        <v>11</v>
      </c>
      <c r="M110" s="239">
        <v>45359</v>
      </c>
      <c r="N110" s="239">
        <v>36287</v>
      </c>
      <c r="O110" s="239">
        <v>90718</v>
      </c>
      <c r="P110" s="7">
        <f t="shared" si="22"/>
        <v>7.6199999999999992</v>
      </c>
      <c r="Q110" s="7">
        <f t="shared" si="23"/>
        <v>15.239999999999998</v>
      </c>
      <c r="R110" s="7" t="s">
        <v>1031</v>
      </c>
    </row>
    <row r="111" spans="1:18" x14ac:dyDescent="0.2">
      <c r="A111" s="3">
        <v>102</v>
      </c>
      <c r="B111" s="3"/>
      <c r="C111" s="3"/>
      <c r="D111" s="3" t="s">
        <v>1</v>
      </c>
      <c r="E111" s="88">
        <v>125000</v>
      </c>
      <c r="F111" s="87">
        <v>100000</v>
      </c>
      <c r="G111" s="87">
        <v>250000</v>
      </c>
      <c r="H111" s="2">
        <v>4</v>
      </c>
      <c r="I111" s="7">
        <v>8</v>
      </c>
      <c r="J111" t="s">
        <v>1710</v>
      </c>
      <c r="K111">
        <v>12</v>
      </c>
      <c r="M111" s="239">
        <v>56699</v>
      </c>
      <c r="N111" s="239">
        <v>45359</v>
      </c>
      <c r="O111" s="239">
        <v>113398</v>
      </c>
      <c r="P111" s="7">
        <f t="shared" si="22"/>
        <v>10.16</v>
      </c>
      <c r="Q111" s="7">
        <f t="shared" si="23"/>
        <v>20.32</v>
      </c>
      <c r="R111" s="7" t="s">
        <v>1031</v>
      </c>
    </row>
    <row r="112" spans="1:18" x14ac:dyDescent="0.2">
      <c r="A112" s="3">
        <v>103</v>
      </c>
      <c r="B112" s="3"/>
      <c r="C112" s="3"/>
      <c r="D112" s="3" t="s">
        <v>2</v>
      </c>
      <c r="E112" s="88">
        <v>150000</v>
      </c>
      <c r="F112" s="87">
        <v>120000</v>
      </c>
      <c r="G112" s="87">
        <v>300000</v>
      </c>
      <c r="H112" s="2">
        <v>4</v>
      </c>
      <c r="I112" s="7">
        <v>8</v>
      </c>
      <c r="J112" t="s">
        <v>1710</v>
      </c>
      <c r="K112">
        <v>13</v>
      </c>
      <c r="M112" s="239">
        <v>68039</v>
      </c>
      <c r="N112" s="239">
        <v>54431</v>
      </c>
      <c r="O112" s="239">
        <v>136078</v>
      </c>
      <c r="P112" s="7">
        <f t="shared" si="22"/>
        <v>10.16</v>
      </c>
      <c r="Q112" s="7">
        <f t="shared" si="23"/>
        <v>20.32</v>
      </c>
      <c r="R112" s="7" t="s">
        <v>1031</v>
      </c>
    </row>
    <row r="113" spans="1:18" x14ac:dyDescent="0.2">
      <c r="A113" s="3">
        <v>104</v>
      </c>
      <c r="B113" s="3"/>
      <c r="C113" s="3"/>
      <c r="D113" s="3" t="s">
        <v>3</v>
      </c>
      <c r="E113" s="88">
        <v>175000</v>
      </c>
      <c r="F113" s="87">
        <v>140000</v>
      </c>
      <c r="G113" s="87">
        <v>350000</v>
      </c>
      <c r="H113" s="2">
        <v>5</v>
      </c>
      <c r="I113" s="7">
        <v>10</v>
      </c>
      <c r="J113" t="s">
        <v>1710</v>
      </c>
      <c r="K113">
        <v>14</v>
      </c>
      <c r="M113" s="239">
        <v>79379</v>
      </c>
      <c r="N113" s="239">
        <v>63503</v>
      </c>
      <c r="O113" s="239">
        <v>158757</v>
      </c>
      <c r="P113" s="7">
        <f t="shared" si="22"/>
        <v>12.7</v>
      </c>
      <c r="Q113" s="7">
        <f t="shared" si="23"/>
        <v>25.4</v>
      </c>
      <c r="R113" s="7" t="s">
        <v>1031</v>
      </c>
    </row>
    <row r="114" spans="1:18" x14ac:dyDescent="0.2">
      <c r="A114" s="3">
        <v>105</v>
      </c>
      <c r="B114" s="3"/>
      <c r="C114" s="3"/>
      <c r="D114" s="3" t="s">
        <v>4</v>
      </c>
      <c r="E114" s="88">
        <v>200000</v>
      </c>
      <c r="F114" s="87">
        <v>160000</v>
      </c>
      <c r="G114" s="87">
        <v>400000</v>
      </c>
      <c r="H114" s="2">
        <v>5</v>
      </c>
      <c r="I114" s="7">
        <v>10</v>
      </c>
      <c r="J114" t="s">
        <v>1710</v>
      </c>
      <c r="K114">
        <v>15</v>
      </c>
      <c r="M114" s="239">
        <v>90718</v>
      </c>
      <c r="N114" s="239">
        <v>72575</v>
      </c>
      <c r="O114" s="239">
        <v>181437</v>
      </c>
      <c r="P114" s="7">
        <f t="shared" si="22"/>
        <v>12.7</v>
      </c>
      <c r="Q114" s="7">
        <f t="shared" si="23"/>
        <v>25.4</v>
      </c>
      <c r="R114" s="7" t="s">
        <v>1031</v>
      </c>
    </row>
    <row r="115" spans="1:18" x14ac:dyDescent="0.2">
      <c r="A115" s="3">
        <v>106</v>
      </c>
      <c r="B115" s="3"/>
      <c r="C115" s="3"/>
      <c r="D115" s="3" t="s">
        <v>5</v>
      </c>
      <c r="E115" s="88">
        <v>250000</v>
      </c>
      <c r="F115" s="87">
        <v>200000</v>
      </c>
      <c r="G115" s="87">
        <v>500000</v>
      </c>
      <c r="H115" s="2">
        <v>5.5</v>
      </c>
      <c r="I115" s="7">
        <v>11</v>
      </c>
      <c r="J115" t="s">
        <v>1710</v>
      </c>
      <c r="K115">
        <v>16</v>
      </c>
      <c r="M115" s="239">
        <v>113398</v>
      </c>
      <c r="N115" s="239">
        <v>90718</v>
      </c>
      <c r="O115" s="239">
        <v>226796</v>
      </c>
      <c r="P115" s="7">
        <f t="shared" si="22"/>
        <v>13.969999999999999</v>
      </c>
      <c r="Q115" s="7">
        <f t="shared" si="23"/>
        <v>27.939999999999998</v>
      </c>
      <c r="R115" s="7" t="s">
        <v>1031</v>
      </c>
    </row>
    <row r="116" spans="1:18" x14ac:dyDescent="0.2">
      <c r="A116" s="3">
        <v>107</v>
      </c>
      <c r="B116" s="3"/>
      <c r="C116" s="3"/>
      <c r="D116" s="3" t="s">
        <v>6</v>
      </c>
      <c r="E116" s="88">
        <v>275000</v>
      </c>
      <c r="F116" s="87">
        <v>220000</v>
      </c>
      <c r="G116" s="87">
        <v>550000</v>
      </c>
      <c r="H116" s="2">
        <v>5.5</v>
      </c>
      <c r="I116" s="7">
        <v>11</v>
      </c>
      <c r="J116" t="s">
        <v>1710</v>
      </c>
      <c r="K116">
        <v>17</v>
      </c>
      <c r="M116" s="239">
        <v>124738</v>
      </c>
      <c r="N116" s="239">
        <v>99790</v>
      </c>
      <c r="O116" s="239">
        <v>249476</v>
      </c>
      <c r="P116" s="7">
        <f t="shared" si="22"/>
        <v>13.969999999999999</v>
      </c>
      <c r="Q116" s="7">
        <f t="shared" si="23"/>
        <v>27.939999999999998</v>
      </c>
      <c r="R116" s="7" t="s">
        <v>1031</v>
      </c>
    </row>
    <row r="117" spans="1:18" x14ac:dyDescent="0.2">
      <c r="A117" s="3">
        <v>108</v>
      </c>
      <c r="B117" s="3"/>
      <c r="C117" s="3"/>
      <c r="D117" s="3" t="s">
        <v>7</v>
      </c>
      <c r="E117" s="88">
        <v>300000</v>
      </c>
      <c r="F117" s="87">
        <v>240000</v>
      </c>
      <c r="G117" s="87">
        <v>600000</v>
      </c>
      <c r="H117" s="2">
        <v>6.5</v>
      </c>
      <c r="I117" s="7">
        <v>13</v>
      </c>
      <c r="J117" t="s">
        <v>1710</v>
      </c>
      <c r="K117">
        <v>18</v>
      </c>
      <c r="M117" s="239">
        <v>136078</v>
      </c>
      <c r="N117" s="239">
        <v>108862</v>
      </c>
      <c r="O117" s="239">
        <v>272155</v>
      </c>
      <c r="P117" s="7">
        <f t="shared" si="22"/>
        <v>16.509999999999998</v>
      </c>
      <c r="Q117" s="7">
        <f t="shared" si="23"/>
        <v>33.019999999999996</v>
      </c>
      <c r="R117" s="7" t="s">
        <v>1031</v>
      </c>
    </row>
    <row r="118" spans="1:18" x14ac:dyDescent="0.2">
      <c r="A118" s="3">
        <v>109</v>
      </c>
      <c r="B118" s="25"/>
      <c r="C118" s="25"/>
      <c r="D118" s="25"/>
    </row>
    <row r="119" spans="1:18" x14ac:dyDescent="0.2">
      <c r="A119" s="3">
        <v>110</v>
      </c>
      <c r="B119" s="25"/>
      <c r="C119" s="25"/>
      <c r="D119" s="25"/>
    </row>
    <row r="120" spans="1:18" x14ac:dyDescent="0.2">
      <c r="A120" s="3">
        <v>111</v>
      </c>
      <c r="B120" s="25"/>
      <c r="C120" s="25"/>
      <c r="D120" s="25"/>
      <c r="E120" s="22" t="s">
        <v>2058</v>
      </c>
      <c r="F120" s="22" t="s">
        <v>2059</v>
      </c>
      <c r="G120" s="22" t="s">
        <v>2060</v>
      </c>
      <c r="H120" s="22" t="s">
        <v>11</v>
      </c>
    </row>
    <row r="121" spans="1:18" x14ac:dyDescent="0.2">
      <c r="A121" s="3">
        <v>112</v>
      </c>
      <c r="B121" s="3"/>
      <c r="C121" s="3"/>
      <c r="D121" s="608" t="s">
        <v>8</v>
      </c>
      <c r="E121" s="608">
        <v>0</v>
      </c>
      <c r="F121" s="609">
        <v>0</v>
      </c>
      <c r="G121" s="609">
        <v>0</v>
      </c>
      <c r="H121" s="608"/>
    </row>
    <row r="122" spans="1:18" x14ac:dyDescent="0.2">
      <c r="A122" s="3">
        <v>113</v>
      </c>
      <c r="B122" s="3"/>
      <c r="C122" s="3"/>
      <c r="D122" s="608" t="s">
        <v>9</v>
      </c>
      <c r="E122" s="608">
        <v>0</v>
      </c>
      <c r="F122" s="610">
        <v>0</v>
      </c>
      <c r="G122" s="609">
        <v>0</v>
      </c>
      <c r="H122" s="608"/>
    </row>
    <row r="123" spans="1:18" x14ac:dyDescent="0.2">
      <c r="A123" s="3">
        <v>114</v>
      </c>
      <c r="B123" s="3"/>
      <c r="C123" s="3"/>
      <c r="D123" s="608" t="s">
        <v>10</v>
      </c>
      <c r="E123" s="608">
        <v>0</v>
      </c>
      <c r="F123" s="610">
        <v>0</v>
      </c>
      <c r="G123" s="609">
        <v>0</v>
      </c>
      <c r="H123" s="608"/>
    </row>
    <row r="124" spans="1:18" x14ac:dyDescent="0.2">
      <c r="A124" s="3">
        <v>115</v>
      </c>
      <c r="B124" s="3"/>
      <c r="C124" s="3"/>
      <c r="D124" s="608" t="s">
        <v>42</v>
      </c>
      <c r="E124" s="608">
        <v>0</v>
      </c>
      <c r="F124" s="610">
        <v>0</v>
      </c>
      <c r="G124" s="609">
        <v>0</v>
      </c>
      <c r="H124" s="608"/>
    </row>
    <row r="125" spans="1:18" x14ac:dyDescent="0.2">
      <c r="A125" s="3">
        <v>116</v>
      </c>
      <c r="B125" s="3"/>
      <c r="C125" s="3"/>
      <c r="D125" s="608" t="s">
        <v>91</v>
      </c>
      <c r="E125" s="608">
        <v>0</v>
      </c>
      <c r="F125" s="610">
        <v>0</v>
      </c>
      <c r="G125" s="609">
        <v>0</v>
      </c>
      <c r="H125" s="608"/>
    </row>
    <row r="126" spans="1:18" x14ac:dyDescent="0.2">
      <c r="A126" s="3">
        <v>117</v>
      </c>
      <c r="B126" s="3"/>
      <c r="C126" s="3"/>
      <c r="D126" s="608" t="s">
        <v>92</v>
      </c>
      <c r="E126" s="608">
        <v>0</v>
      </c>
      <c r="F126" s="610">
        <v>0</v>
      </c>
      <c r="G126" s="609">
        <v>0</v>
      </c>
      <c r="H126" s="608"/>
    </row>
  </sheetData>
  <mergeCells count="9">
    <mergeCell ref="L22:P22"/>
    <mergeCell ref="C24:D24"/>
    <mergeCell ref="C34:D34"/>
    <mergeCell ref="C44:D44"/>
    <mergeCell ref="C99:D99"/>
    <mergeCell ref="M99:O99"/>
    <mergeCell ref="M64:O64"/>
    <mergeCell ref="M80:O80"/>
    <mergeCell ref="C54:D54"/>
  </mergeCells>
  <phoneticPr fontId="15" type="noConversion"/>
  <hyperlinks>
    <hyperlink ref="B1" location="INDEX!A1" display="INDEX PAGE"/>
  </hyperlinks>
  <pageMargins left="0.75" right="0.75" top="1" bottom="1" header="0.5" footer="0.5"/>
  <pageSetup orientation="portrait" horizontalDpi="0" verticalDpi="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I52"/>
  <sheetViews>
    <sheetView showRowColHeaders="0" workbookViewId="0"/>
  </sheetViews>
  <sheetFormatPr defaultRowHeight="12.75" x14ac:dyDescent="0.2"/>
  <cols>
    <col min="1" max="1" width="16.5703125" style="25" customWidth="1"/>
    <col min="2" max="2" width="5.5703125" style="25" customWidth="1"/>
    <col min="3" max="3" width="28.140625" style="25" customWidth="1"/>
    <col min="4" max="4" width="8.140625" style="25" customWidth="1"/>
    <col min="5" max="5" width="9.42578125" style="25" customWidth="1"/>
    <col min="6" max="6" width="16.28515625" style="25" customWidth="1"/>
    <col min="7" max="7" width="10.5703125" style="25" customWidth="1"/>
    <col min="8" max="8" width="10.7109375" style="25" customWidth="1"/>
    <col min="9" max="16384" width="9.140625" style="25"/>
  </cols>
  <sheetData>
    <row r="1" spans="1:9" x14ac:dyDescent="0.2">
      <c r="A1"/>
    </row>
    <row r="2" spans="1:9" ht="15" x14ac:dyDescent="0.25">
      <c r="C2" s="44" t="s">
        <v>1964</v>
      </c>
      <c r="F2" s="598">
        <f>1/1728</f>
        <v>5.7870370370370367E-4</v>
      </c>
    </row>
    <row r="3" spans="1:9" ht="15" x14ac:dyDescent="0.25">
      <c r="C3" s="45" t="s">
        <v>1965</v>
      </c>
      <c r="D3" s="45" t="s">
        <v>1966</v>
      </c>
      <c r="E3" s="45" t="s">
        <v>1967</v>
      </c>
    </row>
    <row r="4" spans="1:9" ht="15" x14ac:dyDescent="0.2">
      <c r="B4" s="46">
        <v>1</v>
      </c>
      <c r="C4" s="47" t="s">
        <v>1968</v>
      </c>
      <c r="D4" s="48">
        <v>165</v>
      </c>
      <c r="E4" s="49">
        <f>D4*$F$2</f>
        <v>9.5486111111111105E-2</v>
      </c>
      <c r="H4" s="50"/>
      <c r="I4" s="50"/>
    </row>
    <row r="5" spans="1:9" ht="15" x14ac:dyDescent="0.2">
      <c r="B5" s="46">
        <v>2</v>
      </c>
      <c r="C5" s="47" t="s">
        <v>1969</v>
      </c>
      <c r="D5" s="48">
        <v>535</v>
      </c>
      <c r="E5" s="49">
        <f t="shared" ref="E5:E28" si="0">D5*$F$2</f>
        <v>0.30960648148148145</v>
      </c>
      <c r="H5" s="50"/>
      <c r="I5" s="50"/>
    </row>
    <row r="6" spans="1:9" ht="15" x14ac:dyDescent="0.2">
      <c r="B6" s="46">
        <v>3</v>
      </c>
      <c r="C6" s="47" t="s">
        <v>1970</v>
      </c>
      <c r="D6" s="48">
        <v>125</v>
      </c>
      <c r="E6" s="49">
        <f t="shared" si="0"/>
        <v>7.2337962962962965E-2</v>
      </c>
      <c r="H6" s="50"/>
      <c r="I6" s="50"/>
    </row>
    <row r="7" spans="1:9" ht="15" x14ac:dyDescent="0.2">
      <c r="B7" s="46">
        <v>4</v>
      </c>
      <c r="C7" s="47" t="s">
        <v>1971</v>
      </c>
      <c r="D7" s="48">
        <v>500</v>
      </c>
      <c r="E7" s="49">
        <f t="shared" si="0"/>
        <v>0.28935185185185186</v>
      </c>
      <c r="H7" s="50"/>
      <c r="I7" s="50"/>
    </row>
    <row r="8" spans="1:9" ht="15" x14ac:dyDescent="0.2">
      <c r="B8" s="46">
        <v>5</v>
      </c>
      <c r="C8" s="47" t="s">
        <v>1972</v>
      </c>
      <c r="D8" s="48">
        <v>480</v>
      </c>
      <c r="E8" s="49">
        <f t="shared" si="0"/>
        <v>0.27777777777777779</v>
      </c>
      <c r="H8" s="50"/>
      <c r="I8" s="50"/>
    </row>
    <row r="9" spans="1:9" ht="15" x14ac:dyDescent="0.2">
      <c r="B9" s="46">
        <v>6</v>
      </c>
      <c r="C9" s="47" t="s">
        <v>1973</v>
      </c>
      <c r="D9" s="48">
        <v>94</v>
      </c>
      <c r="E9" s="49">
        <f t="shared" si="0"/>
        <v>5.4398148148148147E-2</v>
      </c>
      <c r="H9" s="50"/>
      <c r="I9" s="50"/>
    </row>
    <row r="10" spans="1:9" ht="15" x14ac:dyDescent="0.2">
      <c r="B10" s="46">
        <v>7</v>
      </c>
      <c r="C10" s="47" t="s">
        <v>1974</v>
      </c>
      <c r="D10" s="48">
        <v>183</v>
      </c>
      <c r="E10" s="49">
        <f t="shared" si="0"/>
        <v>0.10590277777777778</v>
      </c>
      <c r="H10" s="50"/>
      <c r="I10" s="50"/>
    </row>
    <row r="11" spans="1:9" ht="15" x14ac:dyDescent="0.2">
      <c r="B11" s="46">
        <v>8</v>
      </c>
      <c r="C11" s="47" t="s">
        <v>1975</v>
      </c>
      <c r="D11" s="48">
        <v>144</v>
      </c>
      <c r="E11" s="49">
        <f t="shared" si="0"/>
        <v>8.3333333333333329E-2</v>
      </c>
      <c r="H11" s="50"/>
      <c r="I11" s="50"/>
    </row>
    <row r="12" spans="1:9" ht="15" x14ac:dyDescent="0.2">
      <c r="B12" s="46">
        <v>9</v>
      </c>
      <c r="C12" s="47" t="s">
        <v>1976</v>
      </c>
      <c r="D12" s="48">
        <v>560</v>
      </c>
      <c r="E12" s="49">
        <f t="shared" si="0"/>
        <v>0.32407407407407407</v>
      </c>
      <c r="H12" s="50"/>
      <c r="I12" s="50"/>
    </row>
    <row r="13" spans="1:9" ht="15" x14ac:dyDescent="0.2">
      <c r="B13" s="46">
        <v>10</v>
      </c>
      <c r="C13" s="47" t="s">
        <v>1977</v>
      </c>
      <c r="D13" s="48">
        <v>75</v>
      </c>
      <c r="E13" s="49">
        <f t="shared" si="0"/>
        <v>4.3402777777777776E-2</v>
      </c>
    </row>
    <row r="14" spans="1:9" ht="15" x14ac:dyDescent="0.2">
      <c r="B14" s="46">
        <v>11</v>
      </c>
      <c r="C14" s="47" t="s">
        <v>1978</v>
      </c>
      <c r="D14" s="48">
        <v>100</v>
      </c>
      <c r="E14" s="49">
        <f t="shared" si="0"/>
        <v>5.7870370370370364E-2</v>
      </c>
    </row>
    <row r="15" spans="1:9" ht="15" x14ac:dyDescent="0.2">
      <c r="B15" s="46">
        <v>12</v>
      </c>
      <c r="C15" s="47" t="s">
        <v>1979</v>
      </c>
      <c r="D15" s="48">
        <v>174.5</v>
      </c>
      <c r="E15" s="49">
        <f t="shared" si="0"/>
        <v>0.10098379629629629</v>
      </c>
    </row>
    <row r="16" spans="1:9" ht="15" x14ac:dyDescent="0.2">
      <c r="B16" s="46">
        <v>13</v>
      </c>
      <c r="C16" s="47" t="s">
        <v>1980</v>
      </c>
      <c r="D16" s="48">
        <v>160</v>
      </c>
      <c r="E16" s="49">
        <f t="shared" si="0"/>
        <v>9.2592592592592587E-2</v>
      </c>
    </row>
    <row r="17" spans="2:5" ht="15" x14ac:dyDescent="0.2">
      <c r="B17" s="46">
        <v>14</v>
      </c>
      <c r="C17" s="47" t="s">
        <v>1981</v>
      </c>
      <c r="D17" s="48">
        <v>56</v>
      </c>
      <c r="E17" s="49">
        <f t="shared" si="0"/>
        <v>3.2407407407407406E-2</v>
      </c>
    </row>
    <row r="18" spans="2:5" ht="15" x14ac:dyDescent="0.2">
      <c r="B18" s="46">
        <v>15</v>
      </c>
      <c r="C18" s="47" t="s">
        <v>1982</v>
      </c>
      <c r="D18" s="48">
        <v>710</v>
      </c>
      <c r="E18" s="49">
        <f t="shared" si="0"/>
        <v>0.41087962962962959</v>
      </c>
    </row>
    <row r="19" spans="2:5" ht="15" x14ac:dyDescent="0.2">
      <c r="B19" s="46">
        <v>16</v>
      </c>
      <c r="C19" s="47" t="s">
        <v>1983</v>
      </c>
      <c r="D19" s="48">
        <v>8</v>
      </c>
      <c r="E19" s="49">
        <f t="shared" si="0"/>
        <v>4.6296296296296294E-3</v>
      </c>
    </row>
    <row r="20" spans="2:5" ht="15" x14ac:dyDescent="0.2">
      <c r="B20" s="46">
        <v>17</v>
      </c>
      <c r="C20" s="47" t="s">
        <v>1984</v>
      </c>
      <c r="D20" s="48">
        <v>35</v>
      </c>
      <c r="E20" s="49">
        <f t="shared" si="0"/>
        <v>2.0254629629629629E-2</v>
      </c>
    </row>
    <row r="21" spans="2:5" ht="15" x14ac:dyDescent="0.2">
      <c r="B21" s="46">
        <v>18</v>
      </c>
      <c r="C21" s="47" t="s">
        <v>1985</v>
      </c>
      <c r="D21" s="48">
        <v>490</v>
      </c>
      <c r="E21" s="49">
        <f t="shared" si="0"/>
        <v>0.28356481481481483</v>
      </c>
    </row>
    <row r="22" spans="2:5" ht="15" x14ac:dyDescent="0.2">
      <c r="B22" s="46">
        <v>19</v>
      </c>
      <c r="C22" s="47" t="s">
        <v>1986</v>
      </c>
      <c r="D22" s="48">
        <v>460</v>
      </c>
      <c r="E22" s="49">
        <f t="shared" si="0"/>
        <v>0.26620370370370366</v>
      </c>
    </row>
    <row r="23" spans="2:5" ht="15" x14ac:dyDescent="0.2">
      <c r="B23" s="46">
        <v>20</v>
      </c>
      <c r="C23" s="47" t="s">
        <v>1987</v>
      </c>
      <c r="D23" s="48">
        <v>62</v>
      </c>
      <c r="E23" s="49">
        <f t="shared" si="0"/>
        <v>3.5879629629629629E-2</v>
      </c>
    </row>
    <row r="24" spans="2:5" ht="15" x14ac:dyDescent="0.2">
      <c r="B24" s="46">
        <v>21</v>
      </c>
      <c r="C24" s="47" t="s">
        <v>1988</v>
      </c>
      <c r="D24" s="48">
        <v>54</v>
      </c>
      <c r="E24" s="49">
        <f t="shared" si="0"/>
        <v>3.125E-2</v>
      </c>
    </row>
    <row r="25" spans="2:5" ht="15" x14ac:dyDescent="0.2">
      <c r="B25" s="46">
        <v>22</v>
      </c>
      <c r="C25" s="47" t="s">
        <v>1989</v>
      </c>
      <c r="D25" s="48">
        <v>30</v>
      </c>
      <c r="E25" s="49">
        <f t="shared" si="0"/>
        <v>1.7361111111111112E-2</v>
      </c>
    </row>
    <row r="26" spans="2:5" ht="15.75" x14ac:dyDescent="0.25">
      <c r="B26" s="46">
        <v>23</v>
      </c>
      <c r="C26" s="441" t="s">
        <v>420</v>
      </c>
      <c r="D26" s="442">
        <v>45</v>
      </c>
      <c r="E26" s="49">
        <f t="shared" si="0"/>
        <v>2.6041666666666664E-2</v>
      </c>
    </row>
    <row r="27" spans="2:5" ht="15.75" x14ac:dyDescent="0.25">
      <c r="B27" s="46">
        <v>24</v>
      </c>
      <c r="C27" s="441" t="s">
        <v>419</v>
      </c>
      <c r="D27" s="442">
        <v>37</v>
      </c>
      <c r="E27" s="49">
        <f t="shared" si="0"/>
        <v>2.1412037037037035E-2</v>
      </c>
    </row>
    <row r="28" spans="2:5" ht="15.75" x14ac:dyDescent="0.25">
      <c r="B28" s="46">
        <v>25</v>
      </c>
      <c r="C28" s="441" t="s">
        <v>421</v>
      </c>
      <c r="D28" s="442">
        <v>30</v>
      </c>
      <c r="E28" s="49">
        <f t="shared" si="0"/>
        <v>1.7361111111111112E-2</v>
      </c>
    </row>
    <row r="38" spans="2:5" ht="15.75" x14ac:dyDescent="0.25">
      <c r="C38" s="440" t="s">
        <v>1776</v>
      </c>
    </row>
    <row r="40" spans="2:5" ht="15" x14ac:dyDescent="0.2">
      <c r="B40" s="46">
        <v>1</v>
      </c>
      <c r="C40" s="47" t="s">
        <v>1968</v>
      </c>
      <c r="D40" s="48">
        <v>165</v>
      </c>
      <c r="E40" s="49">
        <f t="shared" ref="E40:E49" si="1">D40*$F$2</f>
        <v>9.5486111111111105E-2</v>
      </c>
    </row>
    <row r="41" spans="2:5" ht="15" x14ac:dyDescent="0.2">
      <c r="B41" s="46">
        <v>2</v>
      </c>
      <c r="C41" s="47" t="s">
        <v>1985</v>
      </c>
      <c r="D41" s="48">
        <v>490</v>
      </c>
      <c r="E41" s="49">
        <f t="shared" si="1"/>
        <v>0.28356481481481483</v>
      </c>
    </row>
    <row r="42" spans="2:5" ht="15" x14ac:dyDescent="0.2">
      <c r="B42" s="46">
        <v>3</v>
      </c>
      <c r="C42" s="47" t="s">
        <v>1972</v>
      </c>
      <c r="D42" s="48">
        <v>480</v>
      </c>
      <c r="E42" s="49">
        <f t="shared" si="1"/>
        <v>0.27777777777777779</v>
      </c>
    </row>
    <row r="43" spans="2:5" ht="15" x14ac:dyDescent="0.2">
      <c r="B43" s="46">
        <v>4</v>
      </c>
      <c r="C43" s="47" t="s">
        <v>1969</v>
      </c>
      <c r="D43" s="48">
        <v>535</v>
      </c>
      <c r="E43" s="49">
        <f t="shared" si="1"/>
        <v>0.30960648148148145</v>
      </c>
    </row>
    <row r="44" spans="2:5" ht="15" x14ac:dyDescent="0.2">
      <c r="B44" s="46">
        <v>5</v>
      </c>
      <c r="C44" s="47" t="s">
        <v>1971</v>
      </c>
      <c r="D44" s="48">
        <v>500</v>
      </c>
      <c r="E44" s="49">
        <f t="shared" si="1"/>
        <v>0.28935185185185186</v>
      </c>
    </row>
    <row r="45" spans="2:5" ht="15" x14ac:dyDescent="0.2">
      <c r="B45" s="46">
        <v>6</v>
      </c>
      <c r="C45" s="47" t="s">
        <v>1992</v>
      </c>
      <c r="D45" s="48">
        <v>490</v>
      </c>
      <c r="E45" s="49">
        <f t="shared" si="1"/>
        <v>0.28356481481481483</v>
      </c>
    </row>
    <row r="46" spans="2:5" ht="15.75" x14ac:dyDescent="0.25">
      <c r="B46" s="46">
        <v>7</v>
      </c>
      <c r="C46" s="441" t="s">
        <v>1990</v>
      </c>
      <c r="D46" s="442">
        <v>5</v>
      </c>
      <c r="E46" s="49">
        <f t="shared" si="1"/>
        <v>2.8935185185185184E-3</v>
      </c>
    </row>
    <row r="47" spans="2:5" ht="15.75" x14ac:dyDescent="0.25">
      <c r="B47" s="46">
        <v>8</v>
      </c>
      <c r="C47" s="441" t="s">
        <v>275</v>
      </c>
      <c r="D47" s="442">
        <v>10</v>
      </c>
      <c r="E47" s="49">
        <f t="shared" si="1"/>
        <v>5.7870370370370367E-3</v>
      </c>
    </row>
    <row r="48" spans="2:5" ht="15.75" x14ac:dyDescent="0.25">
      <c r="B48" s="46">
        <v>9</v>
      </c>
      <c r="C48" s="441" t="s">
        <v>1991</v>
      </c>
      <c r="D48" s="442">
        <v>20</v>
      </c>
      <c r="E48" s="49">
        <f t="shared" si="1"/>
        <v>1.1574074074074073E-2</v>
      </c>
    </row>
    <row r="49" spans="2:5" ht="15.75" x14ac:dyDescent="0.25">
      <c r="B49" s="46">
        <v>10</v>
      </c>
      <c r="C49" s="441" t="s">
        <v>276</v>
      </c>
      <c r="D49" s="442">
        <v>30</v>
      </c>
      <c r="E49" s="49">
        <f t="shared" si="1"/>
        <v>1.7361111111111112E-2</v>
      </c>
    </row>
    <row r="50" spans="2:5" ht="15" x14ac:dyDescent="0.2">
      <c r="B50" s="446"/>
      <c r="C50" s="447"/>
      <c r="D50" s="448"/>
      <c r="E50" s="449"/>
    </row>
    <row r="51" spans="2:5" ht="15" x14ac:dyDescent="0.2">
      <c r="B51" s="446"/>
      <c r="C51" s="447"/>
      <c r="D51" s="448"/>
      <c r="E51" s="449"/>
    </row>
    <row r="52" spans="2:5" ht="15" x14ac:dyDescent="0.2">
      <c r="B52" s="446"/>
      <c r="C52" s="447"/>
      <c r="D52" s="448"/>
      <c r="E52" s="449"/>
    </row>
  </sheetData>
  <sheetProtection password="D809" sheet="1" objects="1" scenarios="1"/>
  <phoneticPr fontId="0" type="noConversion"/>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workbookViewId="0">
      <selection sqref="A1:B1"/>
    </sheetView>
  </sheetViews>
  <sheetFormatPr defaultRowHeight="12.75" x14ac:dyDescent="0.2"/>
  <cols>
    <col min="2" max="2" width="5.85546875" customWidth="1"/>
    <col min="3" max="3" width="17.5703125" customWidth="1"/>
    <col min="4" max="4" width="11.42578125" customWidth="1"/>
    <col min="5" max="5" width="17.42578125" customWidth="1"/>
    <col min="6" max="6" width="79.28515625" customWidth="1"/>
  </cols>
  <sheetData>
    <row r="1" spans="1:12" x14ac:dyDescent="0.2">
      <c r="A1" s="870"/>
      <c r="B1" s="870"/>
      <c r="C1" s="821" t="s">
        <v>70</v>
      </c>
      <c r="D1" s="821" t="s">
        <v>69</v>
      </c>
      <c r="E1" s="821" t="s">
        <v>73</v>
      </c>
      <c r="F1" s="821" t="s">
        <v>71</v>
      </c>
      <c r="G1" s="25"/>
      <c r="H1" s="25"/>
      <c r="I1" s="25"/>
      <c r="J1" s="25"/>
      <c r="K1" s="25"/>
      <c r="L1" s="25"/>
    </row>
    <row r="2" spans="1:12" x14ac:dyDescent="0.2">
      <c r="A2" s="25"/>
      <c r="B2" s="25"/>
      <c r="C2" s="822">
        <v>38876</v>
      </c>
      <c r="D2" s="823" t="s">
        <v>72</v>
      </c>
      <c r="E2" s="435" t="s">
        <v>74</v>
      </c>
      <c r="F2" s="428" t="s">
        <v>80</v>
      </c>
      <c r="G2" s="25"/>
      <c r="H2" s="25"/>
      <c r="I2" s="25"/>
      <c r="J2" s="25"/>
      <c r="K2" s="25"/>
      <c r="L2" s="25"/>
    </row>
    <row r="3" spans="1:12" x14ac:dyDescent="0.2">
      <c r="A3" s="25"/>
      <c r="B3" s="25"/>
      <c r="C3" s="435"/>
      <c r="D3" s="823" t="s">
        <v>72</v>
      </c>
      <c r="E3" s="435" t="s">
        <v>74</v>
      </c>
      <c r="F3" s="428" t="s">
        <v>75</v>
      </c>
      <c r="G3" s="25"/>
      <c r="H3" s="25"/>
      <c r="I3" s="25"/>
      <c r="J3" s="25"/>
      <c r="K3" s="25"/>
      <c r="L3" s="25"/>
    </row>
    <row r="4" spans="1:12" x14ac:dyDescent="0.2">
      <c r="A4" s="25"/>
      <c r="B4" s="25"/>
      <c r="C4" s="435"/>
      <c r="D4" s="823" t="s">
        <v>72</v>
      </c>
      <c r="E4" s="435" t="s">
        <v>76</v>
      </c>
      <c r="F4" s="428" t="s">
        <v>77</v>
      </c>
      <c r="G4" s="25"/>
      <c r="H4" s="25"/>
      <c r="I4" s="25"/>
      <c r="J4" s="25"/>
      <c r="K4" s="25"/>
      <c r="L4" s="25"/>
    </row>
    <row r="5" spans="1:12" x14ac:dyDescent="0.2">
      <c r="A5" s="25"/>
      <c r="B5" s="69"/>
      <c r="C5" s="435"/>
      <c r="D5" s="435"/>
      <c r="E5" s="435" t="s">
        <v>78</v>
      </c>
      <c r="F5" s="428" t="s">
        <v>79</v>
      </c>
      <c r="G5" s="25"/>
      <c r="H5" s="25"/>
      <c r="I5" s="25"/>
      <c r="J5" s="25"/>
      <c r="K5" s="25"/>
      <c r="L5" s="25"/>
    </row>
    <row r="6" spans="1:12" x14ac:dyDescent="0.2">
      <c r="A6" s="25"/>
      <c r="B6" s="69" t="s">
        <v>378</v>
      </c>
      <c r="C6" s="822">
        <v>38930</v>
      </c>
      <c r="D6" s="435" t="s">
        <v>364</v>
      </c>
      <c r="E6" s="435" t="s">
        <v>365</v>
      </c>
      <c r="F6" s="428" t="s">
        <v>366</v>
      </c>
      <c r="G6" s="25"/>
      <c r="H6" s="25"/>
      <c r="I6" s="25"/>
      <c r="J6" s="25"/>
      <c r="K6" s="25"/>
      <c r="L6" s="25"/>
    </row>
    <row r="7" spans="1:12" x14ac:dyDescent="0.2">
      <c r="A7" s="25"/>
      <c r="B7" s="25"/>
      <c r="C7" s="822">
        <v>38943</v>
      </c>
      <c r="D7" s="435" t="s">
        <v>1562</v>
      </c>
      <c r="E7" s="435" t="s">
        <v>74</v>
      </c>
      <c r="F7" s="428" t="s">
        <v>1563</v>
      </c>
      <c r="G7" s="25"/>
      <c r="H7" s="25"/>
      <c r="I7" s="25"/>
      <c r="J7" s="25"/>
      <c r="K7" s="25"/>
      <c r="L7" s="25"/>
    </row>
    <row r="8" spans="1:12" x14ac:dyDescent="0.2">
      <c r="A8" s="25"/>
      <c r="B8" s="25"/>
      <c r="C8" s="435"/>
      <c r="D8" s="435"/>
      <c r="E8" s="435"/>
      <c r="F8" s="428"/>
      <c r="G8" s="25"/>
      <c r="H8" s="25"/>
      <c r="I8" s="25"/>
      <c r="J8" s="25"/>
      <c r="K8" s="25"/>
      <c r="L8" s="25"/>
    </row>
    <row r="9" spans="1:12" x14ac:dyDescent="0.2">
      <c r="A9" s="25"/>
      <c r="B9" s="25"/>
      <c r="C9" s="435"/>
      <c r="D9" s="435"/>
      <c r="E9" s="435"/>
      <c r="F9" s="428"/>
      <c r="G9" s="25"/>
      <c r="H9" s="25"/>
      <c r="I9" s="25"/>
      <c r="J9" s="25"/>
      <c r="K9" s="25"/>
      <c r="L9" s="25"/>
    </row>
    <row r="10" spans="1:12" x14ac:dyDescent="0.2">
      <c r="A10" s="25"/>
      <c r="B10" s="25"/>
      <c r="C10" s="435"/>
      <c r="D10" s="435"/>
      <c r="E10" s="435"/>
      <c r="F10" s="428"/>
      <c r="G10" s="25"/>
      <c r="H10" s="25"/>
      <c r="I10" s="25"/>
      <c r="J10" s="25"/>
      <c r="K10" s="25"/>
      <c r="L10" s="25"/>
    </row>
    <row r="11" spans="1:12" x14ac:dyDescent="0.2">
      <c r="A11" s="25"/>
      <c r="B11" s="25"/>
      <c r="C11" s="435"/>
      <c r="D11" s="435"/>
      <c r="E11" s="435"/>
      <c r="F11" s="428"/>
      <c r="G11" s="25"/>
      <c r="H11" s="25"/>
      <c r="I11" s="25"/>
      <c r="J11" s="25"/>
      <c r="K11" s="25"/>
      <c r="L11" s="25"/>
    </row>
    <row r="12" spans="1:12" x14ac:dyDescent="0.2">
      <c r="A12" s="25"/>
      <c r="B12" s="25"/>
      <c r="C12" s="435"/>
      <c r="D12" s="435"/>
      <c r="E12" s="435"/>
      <c r="F12" s="428"/>
      <c r="G12" s="25"/>
      <c r="H12" s="25"/>
      <c r="I12" s="25"/>
      <c r="J12" s="25"/>
      <c r="K12" s="25"/>
      <c r="L12" s="25"/>
    </row>
    <row r="13" spans="1:12" x14ac:dyDescent="0.2">
      <c r="A13" s="25"/>
      <c r="B13" s="25"/>
      <c r="C13" s="435"/>
      <c r="D13" s="435"/>
      <c r="E13" s="435"/>
      <c r="F13" s="428"/>
      <c r="G13" s="25"/>
      <c r="H13" s="25"/>
      <c r="I13" s="25"/>
      <c r="J13" s="25"/>
      <c r="K13" s="25"/>
      <c r="L13" s="25"/>
    </row>
    <row r="14" spans="1:12" x14ac:dyDescent="0.2">
      <c r="A14" s="25"/>
      <c r="B14" s="25"/>
      <c r="C14" s="435"/>
      <c r="D14" s="435"/>
      <c r="E14" s="435"/>
      <c r="F14" s="428"/>
      <c r="G14" s="25"/>
      <c r="H14" s="25"/>
      <c r="I14" s="25"/>
      <c r="J14" s="25"/>
      <c r="K14" s="25"/>
      <c r="L14" s="25"/>
    </row>
    <row r="15" spans="1:12" x14ac:dyDescent="0.2">
      <c r="A15" s="25"/>
      <c r="B15" s="25"/>
      <c r="C15" s="435"/>
      <c r="D15" s="435"/>
      <c r="E15" s="435"/>
      <c r="F15" s="428"/>
      <c r="G15" s="25"/>
      <c r="H15" s="25"/>
      <c r="I15" s="25"/>
      <c r="J15" s="25"/>
      <c r="K15" s="25"/>
      <c r="L15" s="25"/>
    </row>
    <row r="16" spans="1:12" x14ac:dyDescent="0.2">
      <c r="A16" s="25"/>
      <c r="B16" s="25"/>
      <c r="C16" s="435"/>
      <c r="D16" s="435"/>
      <c r="E16" s="435"/>
      <c r="F16" s="428"/>
      <c r="G16" s="25"/>
      <c r="H16" s="25"/>
      <c r="I16" s="25"/>
      <c r="J16" s="25"/>
      <c r="K16" s="25"/>
      <c r="L16" s="25"/>
    </row>
    <row r="17" spans="1:12" x14ac:dyDescent="0.2">
      <c r="A17" s="25"/>
      <c r="B17" s="25"/>
      <c r="C17" s="435"/>
      <c r="D17" s="435"/>
      <c r="E17" s="435"/>
      <c r="F17" s="428"/>
      <c r="G17" s="25"/>
      <c r="H17" s="25"/>
      <c r="I17" s="25"/>
      <c r="J17" s="25"/>
      <c r="K17" s="25"/>
      <c r="L17" s="25"/>
    </row>
    <row r="18" spans="1:12" x14ac:dyDescent="0.2">
      <c r="A18" s="25"/>
      <c r="B18" s="25"/>
      <c r="C18" s="435"/>
      <c r="D18" s="435"/>
      <c r="E18" s="435"/>
      <c r="F18" s="428"/>
      <c r="G18" s="25"/>
      <c r="H18" s="25"/>
      <c r="I18" s="25"/>
      <c r="J18" s="25"/>
      <c r="K18" s="25"/>
      <c r="L18" s="25"/>
    </row>
    <row r="19" spans="1:12" x14ac:dyDescent="0.2">
      <c r="A19" s="25"/>
      <c r="B19" s="25"/>
      <c r="C19" s="435"/>
      <c r="D19" s="435"/>
      <c r="E19" s="435"/>
      <c r="F19" s="428"/>
      <c r="G19" s="25"/>
      <c r="H19" s="25"/>
      <c r="I19" s="25"/>
      <c r="J19" s="25"/>
      <c r="K19" s="25"/>
      <c r="L19" s="25"/>
    </row>
    <row r="20" spans="1:12" x14ac:dyDescent="0.2">
      <c r="A20" s="25"/>
      <c r="B20" s="25"/>
      <c r="C20" s="435"/>
      <c r="D20" s="435"/>
      <c r="E20" s="435"/>
      <c r="F20" s="428"/>
      <c r="G20" s="25"/>
      <c r="H20" s="25"/>
      <c r="I20" s="25"/>
      <c r="J20" s="25"/>
      <c r="K20" s="25"/>
      <c r="L20" s="25"/>
    </row>
    <row r="21" spans="1:12" x14ac:dyDescent="0.2">
      <c r="A21" s="25"/>
      <c r="B21" s="25"/>
      <c r="C21" s="435"/>
      <c r="D21" s="435"/>
      <c r="E21" s="435"/>
      <c r="F21" s="428"/>
      <c r="G21" s="25"/>
      <c r="H21" s="25"/>
      <c r="I21" s="25"/>
      <c r="J21" s="25"/>
      <c r="K21" s="25"/>
      <c r="L21" s="25"/>
    </row>
    <row r="22" spans="1:12" x14ac:dyDescent="0.2">
      <c r="A22" s="25"/>
      <c r="B22" s="25"/>
      <c r="C22" s="435"/>
      <c r="D22" s="435"/>
      <c r="E22" s="435"/>
      <c r="F22" s="428"/>
      <c r="G22" s="25"/>
      <c r="H22" s="25"/>
      <c r="I22" s="25"/>
      <c r="J22" s="25"/>
      <c r="K22" s="25"/>
      <c r="L22" s="25"/>
    </row>
    <row r="23" spans="1:12" x14ac:dyDescent="0.2">
      <c r="A23" s="25"/>
      <c r="B23" s="25"/>
      <c r="C23" s="25"/>
      <c r="D23" s="25"/>
      <c r="E23" s="25"/>
      <c r="F23" s="25"/>
      <c r="G23" s="25"/>
      <c r="H23" s="25"/>
      <c r="I23" s="25"/>
      <c r="J23" s="25"/>
      <c r="K23" s="25"/>
      <c r="L23" s="25"/>
    </row>
    <row r="24" spans="1:12" x14ac:dyDescent="0.2">
      <c r="A24" s="25"/>
      <c r="B24" s="25"/>
      <c r="C24" s="25"/>
      <c r="D24" s="25"/>
      <c r="E24" s="25"/>
      <c r="F24" s="25"/>
      <c r="G24" s="25"/>
      <c r="H24" s="25"/>
      <c r="I24" s="25"/>
      <c r="J24" s="25"/>
      <c r="K24" s="25"/>
      <c r="L24" s="25"/>
    </row>
    <row r="25" spans="1:12" x14ac:dyDescent="0.2">
      <c r="A25" s="25"/>
      <c r="B25" s="25"/>
      <c r="C25" s="25"/>
      <c r="D25" s="25"/>
      <c r="E25" s="25"/>
      <c r="F25" s="25"/>
      <c r="G25" s="25"/>
      <c r="H25" s="25"/>
      <c r="I25" s="25"/>
      <c r="J25" s="25"/>
      <c r="K25" s="25"/>
      <c r="L25" s="25"/>
    </row>
    <row r="26" spans="1:12" x14ac:dyDescent="0.2">
      <c r="A26" s="25"/>
      <c r="B26" s="25"/>
      <c r="C26" s="25"/>
      <c r="D26" s="25"/>
      <c r="E26" s="25"/>
      <c r="F26" s="25"/>
      <c r="G26" s="25"/>
      <c r="H26" s="25"/>
      <c r="I26" s="25"/>
      <c r="J26" s="25"/>
      <c r="K26" s="25"/>
      <c r="L26" s="25"/>
    </row>
    <row r="27" spans="1:12" x14ac:dyDescent="0.2">
      <c r="A27" s="25"/>
      <c r="B27" s="25"/>
      <c r="C27" s="25"/>
      <c r="D27" s="25"/>
      <c r="E27" s="25"/>
      <c r="F27" s="25"/>
      <c r="G27" s="25"/>
      <c r="H27" s="25"/>
      <c r="I27" s="25"/>
      <c r="J27" s="25"/>
      <c r="K27" s="25"/>
      <c r="L27" s="25"/>
    </row>
    <row r="28" spans="1:12" x14ac:dyDescent="0.2">
      <c r="A28" s="25"/>
      <c r="B28" s="25"/>
      <c r="C28" s="25"/>
      <c r="D28" s="25"/>
      <c r="E28" s="25"/>
      <c r="F28" s="25"/>
      <c r="G28" s="25"/>
      <c r="H28" s="25"/>
      <c r="I28" s="25"/>
      <c r="J28" s="25"/>
      <c r="K28" s="25"/>
      <c r="L28" s="25"/>
    </row>
    <row r="29" spans="1:12" x14ac:dyDescent="0.2">
      <c r="A29" s="25"/>
      <c r="B29" s="25"/>
      <c r="C29" s="25"/>
      <c r="D29" s="25"/>
      <c r="E29" s="25"/>
      <c r="F29" s="25"/>
      <c r="G29" s="25"/>
      <c r="H29" s="25"/>
      <c r="I29" s="25"/>
      <c r="J29" s="25"/>
      <c r="K29" s="25"/>
      <c r="L29" s="25"/>
    </row>
    <row r="30" spans="1:12" x14ac:dyDescent="0.2">
      <c r="A30" s="25"/>
      <c r="B30" s="25"/>
      <c r="C30" s="25"/>
      <c r="D30" s="25"/>
      <c r="E30" s="25"/>
      <c r="F30" s="25"/>
      <c r="G30" s="25"/>
      <c r="H30" s="25"/>
      <c r="I30" s="25"/>
      <c r="J30" s="25"/>
      <c r="K30" s="25"/>
      <c r="L30" s="25"/>
    </row>
    <row r="31" spans="1:12" x14ac:dyDescent="0.2">
      <c r="A31" s="25"/>
      <c r="B31" s="25"/>
      <c r="C31" s="25"/>
      <c r="D31" s="25"/>
      <c r="E31" s="25"/>
      <c r="F31" s="25"/>
      <c r="G31" s="25"/>
      <c r="H31" s="25"/>
      <c r="I31" s="25"/>
      <c r="J31" s="25"/>
      <c r="K31" s="25"/>
      <c r="L31" s="25"/>
    </row>
    <row r="32" spans="1:12" x14ac:dyDescent="0.2">
      <c r="A32" s="25"/>
      <c r="B32" s="25"/>
      <c r="C32" s="25"/>
      <c r="D32" s="25"/>
      <c r="E32" s="25"/>
      <c r="F32" s="25"/>
      <c r="G32" s="25"/>
      <c r="H32" s="25"/>
      <c r="I32" s="25"/>
      <c r="J32" s="25"/>
      <c r="K32" s="25"/>
      <c r="L32" s="25"/>
    </row>
    <row r="33" spans="1:12" x14ac:dyDescent="0.2">
      <c r="A33" s="25"/>
      <c r="B33" s="25"/>
      <c r="C33" s="25"/>
      <c r="D33" s="25"/>
      <c r="E33" s="25"/>
      <c r="F33" s="25"/>
      <c r="G33" s="25"/>
      <c r="H33" s="25"/>
      <c r="I33" s="25"/>
      <c r="J33" s="25"/>
      <c r="K33" s="25"/>
      <c r="L33" s="25"/>
    </row>
    <row r="34" spans="1:12" x14ac:dyDescent="0.2">
      <c r="A34" s="25"/>
      <c r="B34" s="25"/>
      <c r="C34" s="25"/>
      <c r="D34" s="25"/>
      <c r="E34" s="25"/>
      <c r="F34" s="25"/>
      <c r="G34" s="25"/>
      <c r="H34" s="25"/>
      <c r="I34" s="25"/>
      <c r="J34" s="25"/>
      <c r="K34" s="25"/>
      <c r="L34" s="25"/>
    </row>
    <row r="35" spans="1:12" x14ac:dyDescent="0.2">
      <c r="A35" s="25"/>
      <c r="B35" s="25"/>
      <c r="C35" s="25"/>
      <c r="D35" s="25"/>
      <c r="E35" s="25"/>
      <c r="F35" s="25"/>
      <c r="G35" s="25"/>
      <c r="H35" s="25"/>
      <c r="I35" s="25"/>
      <c r="J35" s="25"/>
      <c r="K35" s="25"/>
      <c r="L35" s="25"/>
    </row>
    <row r="36" spans="1:12" x14ac:dyDescent="0.2">
      <c r="A36" s="25"/>
      <c r="B36" s="25"/>
      <c r="C36" s="25"/>
      <c r="D36" s="25"/>
      <c r="E36" s="25"/>
      <c r="F36" s="25"/>
      <c r="G36" s="25"/>
      <c r="H36" s="25"/>
      <c r="I36" s="25"/>
      <c r="J36" s="25"/>
      <c r="K36" s="25"/>
      <c r="L36" s="25"/>
    </row>
    <row r="37" spans="1:12" x14ac:dyDescent="0.2">
      <c r="A37" s="25"/>
      <c r="B37" s="25"/>
      <c r="C37" s="25"/>
      <c r="D37" s="25"/>
      <c r="E37" s="25"/>
      <c r="F37" s="25"/>
      <c r="G37" s="25"/>
      <c r="H37" s="25"/>
      <c r="I37" s="25"/>
      <c r="J37" s="25"/>
      <c r="K37" s="25"/>
      <c r="L37" s="25"/>
    </row>
    <row r="38" spans="1:12" x14ac:dyDescent="0.2">
      <c r="A38" s="25"/>
      <c r="B38" s="25"/>
      <c r="C38" s="25"/>
      <c r="D38" s="25"/>
      <c r="E38" s="25"/>
      <c r="F38" s="25"/>
      <c r="G38" s="25"/>
      <c r="H38" s="25"/>
      <c r="I38" s="25"/>
      <c r="J38" s="25"/>
      <c r="K38" s="25"/>
      <c r="L38" s="25"/>
    </row>
    <row r="39" spans="1:12" x14ac:dyDescent="0.2">
      <c r="A39" s="25"/>
      <c r="B39" s="25"/>
      <c r="C39" s="25"/>
      <c r="D39" s="25"/>
      <c r="E39" s="25"/>
      <c r="F39" s="25"/>
      <c r="G39" s="25"/>
      <c r="H39" s="25"/>
      <c r="I39" s="25"/>
      <c r="J39" s="25"/>
      <c r="K39" s="25"/>
      <c r="L39" s="25"/>
    </row>
    <row r="40" spans="1:12" x14ac:dyDescent="0.2">
      <c r="A40" s="25"/>
      <c r="B40" s="25"/>
      <c r="C40" s="25"/>
      <c r="D40" s="25"/>
      <c r="E40" s="25"/>
      <c r="F40" s="25"/>
      <c r="G40" s="25"/>
      <c r="H40" s="25"/>
      <c r="I40" s="25"/>
      <c r="J40" s="25"/>
      <c r="K40" s="25"/>
      <c r="L40" s="25"/>
    </row>
    <row r="41" spans="1:12" x14ac:dyDescent="0.2">
      <c r="A41" s="25"/>
      <c r="B41" s="25"/>
      <c r="C41" s="25"/>
      <c r="D41" s="25"/>
      <c r="E41" s="25"/>
      <c r="F41" s="25"/>
      <c r="G41" s="25"/>
      <c r="H41" s="25"/>
      <c r="I41" s="25"/>
      <c r="J41" s="25"/>
      <c r="K41" s="25"/>
      <c r="L41" s="25"/>
    </row>
    <row r="42" spans="1:12" x14ac:dyDescent="0.2">
      <c r="A42" s="25"/>
      <c r="B42" s="25"/>
      <c r="C42" s="25"/>
      <c r="D42" s="25"/>
      <c r="E42" s="25"/>
      <c r="F42" s="25"/>
      <c r="G42" s="25"/>
      <c r="H42" s="25"/>
      <c r="I42" s="25"/>
      <c r="J42" s="25"/>
      <c r="K42" s="25"/>
      <c r="L42" s="25"/>
    </row>
    <row r="43" spans="1:12" x14ac:dyDescent="0.2">
      <c r="A43" s="25"/>
      <c r="B43" s="25"/>
      <c r="C43" s="25"/>
      <c r="D43" s="25"/>
      <c r="E43" s="25"/>
      <c r="F43" s="25"/>
      <c r="G43" s="25"/>
      <c r="H43" s="25"/>
      <c r="I43" s="25"/>
      <c r="J43" s="25"/>
      <c r="K43" s="25"/>
      <c r="L43" s="25"/>
    </row>
    <row r="44" spans="1:12" x14ac:dyDescent="0.2">
      <c r="A44" s="25"/>
      <c r="B44" s="25"/>
      <c r="C44" s="25"/>
      <c r="D44" s="25"/>
      <c r="E44" s="25"/>
      <c r="F44" s="25"/>
      <c r="G44" s="25"/>
      <c r="H44" s="25"/>
      <c r="I44" s="25"/>
      <c r="J44" s="25"/>
      <c r="K44" s="25"/>
      <c r="L44" s="25"/>
    </row>
    <row r="45" spans="1:12" x14ac:dyDescent="0.2">
      <c r="A45" s="25"/>
      <c r="B45" s="25"/>
      <c r="C45" s="25"/>
      <c r="D45" s="25"/>
      <c r="E45" s="25"/>
      <c r="F45" s="25"/>
      <c r="G45" s="25"/>
      <c r="H45" s="25"/>
      <c r="I45" s="25"/>
      <c r="J45" s="25"/>
      <c r="K45" s="25"/>
      <c r="L45" s="25"/>
    </row>
    <row r="46" spans="1:12" x14ac:dyDescent="0.2">
      <c r="A46" s="25"/>
      <c r="B46" s="25"/>
      <c r="C46" s="25"/>
      <c r="D46" s="25"/>
      <c r="E46" s="25"/>
      <c r="F46" s="25"/>
      <c r="G46" s="25"/>
      <c r="H46" s="25"/>
      <c r="I46" s="25"/>
      <c r="J46" s="25"/>
      <c r="K46" s="25"/>
      <c r="L46" s="25"/>
    </row>
    <row r="47" spans="1:12" x14ac:dyDescent="0.2">
      <c r="A47" s="25"/>
      <c r="B47" s="25"/>
      <c r="C47" s="25"/>
      <c r="D47" s="25"/>
      <c r="E47" s="25"/>
      <c r="F47" s="25"/>
      <c r="G47" s="25"/>
      <c r="H47" s="25"/>
      <c r="I47" s="25"/>
      <c r="J47" s="25"/>
      <c r="K47" s="25"/>
      <c r="L47" s="25"/>
    </row>
    <row r="48" spans="1:12" x14ac:dyDescent="0.2">
      <c r="A48" s="25"/>
      <c r="B48" s="25"/>
      <c r="C48" s="25"/>
      <c r="D48" s="25"/>
      <c r="E48" s="25"/>
      <c r="F48" s="25"/>
      <c r="G48" s="25"/>
      <c r="H48" s="25"/>
      <c r="I48" s="25"/>
      <c r="J48" s="25"/>
      <c r="K48" s="25"/>
      <c r="L48" s="25"/>
    </row>
    <row r="49" spans="1:12" x14ac:dyDescent="0.2">
      <c r="A49" s="25"/>
      <c r="B49" s="25"/>
      <c r="C49" s="25"/>
      <c r="D49" s="25"/>
      <c r="E49" s="25"/>
      <c r="F49" s="25"/>
      <c r="G49" s="25"/>
      <c r="H49" s="25"/>
      <c r="I49" s="25"/>
      <c r="J49" s="25"/>
      <c r="K49" s="25"/>
      <c r="L49" s="25"/>
    </row>
    <row r="50" spans="1:12" x14ac:dyDescent="0.2">
      <c r="A50" s="25"/>
      <c r="B50" s="25"/>
      <c r="C50" s="25"/>
      <c r="D50" s="25"/>
      <c r="E50" s="25"/>
      <c r="F50" s="25"/>
      <c r="G50" s="25"/>
      <c r="H50" s="25"/>
      <c r="I50" s="25"/>
      <c r="J50" s="25"/>
      <c r="K50" s="25"/>
      <c r="L50" s="25"/>
    </row>
    <row r="51" spans="1:12" x14ac:dyDescent="0.2">
      <c r="A51" s="25"/>
      <c r="B51" s="25"/>
      <c r="C51" s="25"/>
      <c r="D51" s="25"/>
      <c r="E51" s="25"/>
      <c r="F51" s="25"/>
      <c r="G51" s="25"/>
      <c r="H51" s="25"/>
      <c r="I51" s="25"/>
      <c r="J51" s="25"/>
      <c r="K51" s="25"/>
      <c r="L51" s="25"/>
    </row>
    <row r="52" spans="1:12" x14ac:dyDescent="0.2">
      <c r="A52" s="25"/>
      <c r="B52" s="25"/>
      <c r="C52" s="25"/>
      <c r="D52" s="25"/>
      <c r="E52" s="25"/>
      <c r="F52" s="25"/>
      <c r="G52" s="25"/>
      <c r="H52" s="25"/>
      <c r="I52" s="25"/>
      <c r="J52" s="25"/>
      <c r="K52" s="25"/>
      <c r="L52" s="25"/>
    </row>
    <row r="53" spans="1:12" x14ac:dyDescent="0.2">
      <c r="A53" s="25"/>
      <c r="B53" s="25"/>
      <c r="C53" s="25"/>
      <c r="D53" s="25"/>
      <c r="E53" s="25"/>
      <c r="F53" s="25"/>
      <c r="G53" s="25"/>
      <c r="H53" s="25"/>
      <c r="I53" s="25"/>
      <c r="J53" s="25"/>
      <c r="K53" s="25"/>
      <c r="L53" s="25"/>
    </row>
    <row r="54" spans="1:12" x14ac:dyDescent="0.2">
      <c r="A54" s="25"/>
      <c r="B54" s="25"/>
      <c r="C54" s="25"/>
      <c r="D54" s="25"/>
      <c r="E54" s="25"/>
      <c r="F54" s="25"/>
      <c r="G54" s="25"/>
      <c r="H54" s="25"/>
      <c r="I54" s="25"/>
      <c r="J54" s="25"/>
      <c r="K54" s="25"/>
      <c r="L54" s="25"/>
    </row>
    <row r="55" spans="1:12" x14ac:dyDescent="0.2">
      <c r="A55" s="25"/>
      <c r="B55" s="25"/>
      <c r="C55" s="25"/>
      <c r="D55" s="25"/>
      <c r="E55" s="25"/>
      <c r="F55" s="25"/>
      <c r="G55" s="25"/>
      <c r="H55" s="25"/>
      <c r="I55" s="25"/>
      <c r="J55" s="25"/>
      <c r="K55" s="25"/>
      <c r="L55" s="25"/>
    </row>
  </sheetData>
  <sheetProtection sheet="1" objects="1" scenarios="1"/>
  <mergeCells count="1">
    <mergeCell ref="A1:B1"/>
  </mergeCells>
  <phoneticPr fontId="15" type="noConversion"/>
  <pageMargins left="0.75" right="0.75" top="1" bottom="1" header="0.5" footer="0.5"/>
  <pageSetup orientation="portrait" horizontalDpi="0" verticalDpi="0"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
  <sheetViews>
    <sheetView showRowColHeaders="0" workbookViewId="0">
      <selection activeCell="G9" sqref="G9"/>
    </sheetView>
  </sheetViews>
  <sheetFormatPr defaultRowHeight="12.75" x14ac:dyDescent="0.2"/>
  <cols>
    <col min="1" max="1" width="4" customWidth="1"/>
    <col min="2" max="2" width="15.28515625" customWidth="1"/>
    <col min="3" max="4" width="10.7109375" customWidth="1"/>
    <col min="5" max="5" width="9.7109375" customWidth="1"/>
    <col min="6" max="6" width="3.85546875" customWidth="1"/>
    <col min="7" max="7" width="12.42578125" customWidth="1"/>
    <col min="8" max="8" width="13" customWidth="1"/>
    <col min="9" max="9" width="24.7109375" bestFit="1" customWidth="1"/>
    <col min="10" max="10" width="4.7109375" hidden="1" customWidth="1"/>
    <col min="11" max="11" width="19.28515625" hidden="1" customWidth="1"/>
    <col min="12" max="12" width="18.28515625" hidden="1" customWidth="1"/>
    <col min="13" max="13" width="10.85546875" hidden="1" customWidth="1"/>
    <col min="14" max="14" width="24.5703125" hidden="1" customWidth="1"/>
    <col min="15" max="17" width="9.140625" hidden="1" customWidth="1"/>
  </cols>
  <sheetData>
    <row r="1" spans="1:25" x14ac:dyDescent="0.2">
      <c r="B1" s="25"/>
      <c r="C1" s="25"/>
      <c r="D1" s="25"/>
      <c r="E1" s="25"/>
      <c r="F1" s="25"/>
      <c r="G1" s="25"/>
      <c r="H1" s="25"/>
      <c r="I1" s="25"/>
      <c r="J1" s="25"/>
      <c r="K1" s="25"/>
      <c r="L1" s="42" t="s">
        <v>1647</v>
      </c>
      <c r="M1" s="655" t="s">
        <v>1648</v>
      </c>
      <c r="N1" s="8" t="s">
        <v>1649</v>
      </c>
      <c r="R1" s="677"/>
      <c r="S1" s="677"/>
      <c r="T1" s="677"/>
      <c r="U1" s="677"/>
      <c r="V1" s="677"/>
      <c r="W1" s="677"/>
      <c r="X1" s="677"/>
      <c r="Y1" s="677"/>
    </row>
    <row r="2" spans="1:25" ht="13.5" thickBot="1" x14ac:dyDescent="0.25">
      <c r="A2" s="25"/>
      <c r="B2" s="25"/>
      <c r="C2" s="904" t="s">
        <v>1365</v>
      </c>
      <c r="D2" s="904"/>
      <c r="E2" s="904"/>
      <c r="F2" s="904"/>
      <c r="G2" s="904"/>
      <c r="H2" s="904"/>
      <c r="I2" s="25"/>
      <c r="J2" s="25"/>
      <c r="K2" s="382"/>
      <c r="M2" s="656"/>
      <c r="N2" s="657" t="s">
        <v>1650</v>
      </c>
      <c r="O2" t="s">
        <v>1651</v>
      </c>
      <c r="R2" s="677"/>
      <c r="S2" s="677"/>
      <c r="T2" s="677"/>
      <c r="U2" s="677"/>
      <c r="V2" s="677"/>
      <c r="W2" s="677"/>
      <c r="X2" s="677"/>
      <c r="Y2" s="677"/>
    </row>
    <row r="3" spans="1:25" ht="13.5" thickBot="1" x14ac:dyDescent="0.25">
      <c r="A3" s="25"/>
      <c r="B3" s="42" t="s">
        <v>1652</v>
      </c>
      <c r="C3" s="738">
        <v>39027</v>
      </c>
      <c r="D3" s="658" t="b">
        <f>ISBLANK(C3)</f>
        <v>0</v>
      </c>
      <c r="E3" s="464">
        <f>IF(D3=TRUE,0,1)</f>
        <v>1</v>
      </c>
      <c r="G3" s="25"/>
      <c r="H3" s="25"/>
      <c r="I3" s="25"/>
      <c r="J3" s="25"/>
      <c r="K3" s="360" t="s">
        <v>1653</v>
      </c>
      <c r="L3" s="25">
        <v>59283</v>
      </c>
      <c r="M3" s="656">
        <v>5810</v>
      </c>
      <c r="N3" s="657" t="s">
        <v>1654</v>
      </c>
      <c r="O3">
        <v>14907</v>
      </c>
      <c r="R3" s="677"/>
      <c r="S3" s="677"/>
      <c r="T3" s="677"/>
      <c r="U3" s="677"/>
      <c r="V3" s="677"/>
      <c r="W3" s="677"/>
      <c r="X3" s="677"/>
      <c r="Y3" s="677"/>
    </row>
    <row r="4" spans="1:25" ht="13.5" thickBot="1" x14ac:dyDescent="0.25">
      <c r="A4" s="25"/>
      <c r="B4" s="42" t="s">
        <v>1655</v>
      </c>
      <c r="C4" s="659"/>
      <c r="D4" s="768"/>
      <c r="E4" s="768"/>
      <c r="F4" s="25"/>
      <c r="G4" s="25"/>
      <c r="H4" s="25"/>
      <c r="I4" s="25"/>
      <c r="J4" s="25"/>
      <c r="K4" s="89">
        <f>(SUM(C4:E4)+2769)</f>
        <v>2769</v>
      </c>
      <c r="L4" s="25">
        <v>59283</v>
      </c>
      <c r="M4" s="656">
        <v>6932</v>
      </c>
      <c r="N4" s="657" t="s">
        <v>1656</v>
      </c>
      <c r="O4">
        <v>13785</v>
      </c>
      <c r="R4" s="677"/>
      <c r="S4" s="677"/>
      <c r="T4" s="677"/>
      <c r="U4" s="677"/>
      <c r="V4" s="677"/>
      <c r="W4" s="677"/>
      <c r="X4" s="677"/>
      <c r="Y4" s="677"/>
    </row>
    <row r="5" spans="1:25" ht="13.5" thickBot="1" x14ac:dyDescent="0.25">
      <c r="A5" s="25"/>
      <c r="B5" s="42" t="s">
        <v>1657</v>
      </c>
      <c r="C5" s="660"/>
      <c r="D5" s="698"/>
      <c r="E5" s="698"/>
      <c r="F5" s="25"/>
      <c r="H5" s="25"/>
      <c r="I5" s="25"/>
      <c r="J5" s="25"/>
      <c r="K5" s="661"/>
      <c r="L5" s="25">
        <v>59283</v>
      </c>
      <c r="M5" s="656">
        <v>7865</v>
      </c>
      <c r="N5" s="657" t="s">
        <v>1658</v>
      </c>
      <c r="O5">
        <v>12852</v>
      </c>
      <c r="R5" s="677"/>
      <c r="S5" s="677"/>
      <c r="T5" s="677"/>
      <c r="U5" s="677"/>
      <c r="V5" s="677"/>
      <c r="W5" s="677"/>
      <c r="X5" s="677"/>
      <c r="Y5" s="677"/>
    </row>
    <row r="6" spans="1:25" ht="13.5" thickBot="1" x14ac:dyDescent="0.25">
      <c r="A6" s="25"/>
      <c r="B6" s="25"/>
      <c r="C6" s="25"/>
      <c r="D6" s="25"/>
      <c r="E6" s="25"/>
      <c r="F6" s="25"/>
      <c r="G6" s="661"/>
      <c r="H6" s="25"/>
      <c r="I6" s="25"/>
      <c r="J6" s="25"/>
      <c r="K6" s="38"/>
      <c r="L6" s="25">
        <v>59283</v>
      </c>
      <c r="M6" s="656">
        <v>8542</v>
      </c>
      <c r="N6" s="657" t="s">
        <v>1659</v>
      </c>
      <c r="O6">
        <v>12175</v>
      </c>
      <c r="R6" s="677"/>
      <c r="S6" s="677"/>
      <c r="T6" s="677"/>
      <c r="U6" s="677"/>
      <c r="V6" s="677"/>
      <c r="W6" s="677"/>
      <c r="X6" s="677"/>
      <c r="Y6" s="677"/>
    </row>
    <row r="7" spans="1:25" ht="13.5" thickBot="1" x14ac:dyDescent="0.25">
      <c r="A7" s="25"/>
      <c r="B7" s="51" t="s">
        <v>1660</v>
      </c>
      <c r="C7" s="1001" t="s">
        <v>709</v>
      </c>
      <c r="D7" s="1002"/>
      <c r="E7" s="1002"/>
      <c r="F7" s="1002"/>
      <c r="G7" s="1003"/>
      <c r="H7" s="25"/>
      <c r="I7" s="25"/>
      <c r="J7" s="25"/>
      <c r="K7" s="662"/>
      <c r="L7" s="25">
        <v>59283</v>
      </c>
      <c r="M7" s="656">
        <v>9950</v>
      </c>
      <c r="N7" s="657" t="s">
        <v>1661</v>
      </c>
      <c r="O7">
        <v>10767</v>
      </c>
      <c r="R7" s="677"/>
      <c r="S7" s="677"/>
      <c r="T7" s="677"/>
      <c r="U7" s="677"/>
      <c r="V7" s="677"/>
      <c r="W7" s="677"/>
      <c r="X7" s="677"/>
      <c r="Y7" s="677"/>
    </row>
    <row r="8" spans="1:25" ht="13.5" thickBot="1" x14ac:dyDescent="0.25">
      <c r="A8" s="25"/>
      <c r="B8" s="25"/>
      <c r="C8" s="25"/>
      <c r="D8" s="25"/>
      <c r="E8" s="25"/>
      <c r="F8" s="25"/>
      <c r="G8" s="25"/>
      <c r="H8" s="25"/>
      <c r="I8" s="25"/>
      <c r="J8" s="25"/>
      <c r="K8" s="25"/>
      <c r="L8" s="25"/>
      <c r="M8" s="25"/>
      <c r="R8" s="677"/>
      <c r="S8" s="677"/>
      <c r="T8" s="677"/>
      <c r="U8" s="677"/>
      <c r="V8" s="677"/>
      <c r="W8" s="677"/>
      <c r="X8" s="677"/>
      <c r="Y8" s="677"/>
    </row>
    <row r="9" spans="1:25" ht="18.75" thickBot="1" x14ac:dyDescent="0.3">
      <c r="A9" s="25"/>
      <c r="B9" s="663"/>
      <c r="C9" s="25"/>
      <c r="D9" s="664" t="s">
        <v>1662</v>
      </c>
      <c r="E9" s="665"/>
      <c r="F9" s="759" t="s">
        <v>1663</v>
      </c>
      <c r="G9" s="665"/>
      <c r="H9" s="25"/>
      <c r="I9" s="35"/>
      <c r="J9" s="25"/>
      <c r="K9" s="25">
        <f>(80000-(E9+G9))</f>
        <v>80000</v>
      </c>
      <c r="L9" s="89" t="e">
        <f>LOOKUP(G9,M3:M7,O3:O7)</f>
        <v>#N/A</v>
      </c>
      <c r="M9" s="666" t="b">
        <f>ISNA(L9)</f>
        <v>1</v>
      </c>
      <c r="N9" s="667">
        <f>IF(M9=TRUE,0,1)</f>
        <v>0</v>
      </c>
      <c r="R9" s="677"/>
      <c r="S9" s="677"/>
      <c r="T9" s="677"/>
      <c r="U9" s="677"/>
      <c r="V9" s="677"/>
      <c r="W9" s="677"/>
      <c r="X9" s="677"/>
      <c r="Y9" s="677"/>
    </row>
    <row r="10" spans="1:25" x14ac:dyDescent="0.2">
      <c r="A10" s="25"/>
      <c r="B10" s="25"/>
      <c r="C10" s="42"/>
      <c r="E10" s="699"/>
      <c r="F10" s="25"/>
      <c r="G10" s="25"/>
      <c r="H10" s="25"/>
      <c r="I10" s="25"/>
      <c r="J10" s="25"/>
      <c r="K10" s="25"/>
      <c r="L10" s="422" t="s">
        <v>1664</v>
      </c>
      <c r="M10" s="666" t="b">
        <f>ISBLANK(C3)</f>
        <v>0</v>
      </c>
      <c r="N10" s="667">
        <f>IF(M10=TRUE,0,1)</f>
        <v>1</v>
      </c>
      <c r="R10" s="677"/>
      <c r="S10" s="677"/>
      <c r="T10" s="677"/>
      <c r="U10" s="677"/>
      <c r="V10" s="677"/>
      <c r="W10" s="677"/>
      <c r="X10" s="677"/>
      <c r="Y10" s="677"/>
    </row>
    <row r="11" spans="1:25" x14ac:dyDescent="0.2">
      <c r="A11" s="25"/>
      <c r="B11" s="25"/>
      <c r="C11" s="69" t="str">
        <f ca="1">IF(TODAY()&lt;D14,"UNLOCKED","LOCKED")</f>
        <v>LOCKED</v>
      </c>
      <c r="D11" s="25"/>
      <c r="E11" s="884" t="str">
        <f>IF(N9=0,"Incorrect Multi-User Code - please verify your entry","Multi-User Code accepted!")</f>
        <v>Incorrect Multi-User Code - please verify your entry</v>
      </c>
      <c r="F11" s="884"/>
      <c r="G11" s="884"/>
      <c r="H11" s="884"/>
      <c r="I11" s="884"/>
      <c r="J11" s="25"/>
      <c r="K11" s="25"/>
      <c r="L11" s="422" t="s">
        <v>1665</v>
      </c>
      <c r="M11" s="666" t="b">
        <f>ISBLANK(C4)</f>
        <v>1</v>
      </c>
      <c r="N11" s="667">
        <f>IF(M11=TRUE,0,1)</f>
        <v>0</v>
      </c>
      <c r="R11" s="677"/>
      <c r="S11" s="677"/>
      <c r="T11" s="677"/>
      <c r="U11" s="677"/>
      <c r="V11" s="677"/>
      <c r="W11" s="677"/>
      <c r="X11" s="677"/>
      <c r="Y11" s="677"/>
    </row>
    <row r="12" spans="1:25" ht="13.5" thickBot="1" x14ac:dyDescent="0.25">
      <c r="A12" s="25"/>
      <c r="C12" s="25"/>
      <c r="D12" s="25"/>
      <c r="E12" s="25"/>
      <c r="G12" s="667"/>
      <c r="H12" s="25"/>
      <c r="I12" s="25"/>
      <c r="J12" s="25"/>
      <c r="K12" s="25"/>
      <c r="L12" s="422" t="s">
        <v>1666</v>
      </c>
      <c r="M12" s="666" t="b">
        <f>ISBLANK(C5)</f>
        <v>1</v>
      </c>
      <c r="N12" s="667">
        <f>IF(M12=TRUE,0,1)</f>
        <v>0</v>
      </c>
      <c r="R12" s="677"/>
      <c r="S12" s="677"/>
      <c r="T12" s="677"/>
      <c r="U12" s="677"/>
      <c r="V12" s="677"/>
      <c r="W12" s="677"/>
      <c r="X12" s="677"/>
      <c r="Y12" s="677"/>
    </row>
    <row r="13" spans="1:25" ht="13.5" thickBot="1" x14ac:dyDescent="0.25">
      <c r="A13" s="25"/>
      <c r="B13" s="25"/>
      <c r="C13" s="422" t="s">
        <v>1667</v>
      </c>
      <c r="D13" s="668">
        <f>C3</f>
        <v>39027</v>
      </c>
      <c r="E13" s="25"/>
      <c r="F13" s="72"/>
      <c r="G13" s="669" t="s">
        <v>1812</v>
      </c>
      <c r="H13" s="670" t="str">
        <f>IF(N10=0,"Not registered yet",C7)</f>
        <v>LIMITED EVALUATION COPY</v>
      </c>
      <c r="I13" s="671"/>
      <c r="J13" s="25"/>
      <c r="N13" s="672">
        <f>SUM(N10:N12)</f>
        <v>1</v>
      </c>
      <c r="R13" s="677"/>
      <c r="S13" s="677"/>
      <c r="T13" s="677"/>
      <c r="U13" s="677"/>
      <c r="V13" s="677"/>
      <c r="W13" s="677"/>
      <c r="X13" s="677"/>
      <c r="Y13" s="677"/>
    </row>
    <row r="14" spans="1:25" x14ac:dyDescent="0.2">
      <c r="A14" s="25"/>
      <c r="B14" s="25"/>
      <c r="C14" s="422" t="s">
        <v>1668</v>
      </c>
      <c r="D14" s="736">
        <f>(D13+E15)</f>
        <v>39087</v>
      </c>
      <c r="E14" s="25"/>
      <c r="F14" s="25"/>
      <c r="G14" s="669" t="s">
        <v>1669</v>
      </c>
      <c r="H14" s="670" t="str">
        <f>IF(N13&lt;3,"EVALUATION COPY","LICENSED COPY")</f>
        <v>EVALUATION COPY</v>
      </c>
      <c r="I14" s="671"/>
      <c r="J14" s="25"/>
      <c r="K14" s="25"/>
      <c r="R14" s="677"/>
      <c r="S14" s="677"/>
      <c r="T14" s="677"/>
      <c r="U14" s="677"/>
      <c r="V14" s="677"/>
      <c r="W14" s="677"/>
      <c r="X14" s="677"/>
      <c r="Y14" s="677"/>
    </row>
    <row r="15" spans="1:25" x14ac:dyDescent="0.2">
      <c r="B15" s="673"/>
      <c r="C15" s="422" t="s">
        <v>1670</v>
      </c>
      <c r="D15" s="674">
        <f>IF(N10=0,0,D14-D13)</f>
        <v>60</v>
      </c>
      <c r="E15" s="224">
        <f>IF(N12=1,6000,60)</f>
        <v>60</v>
      </c>
      <c r="F15" s="25"/>
      <c r="G15" s="671"/>
      <c r="H15" s="670" t="str">
        <f>IF(N9=1,LOOKUP(G9,M3:M7,N3:N7),"Single User Copy")</f>
        <v>Single User Copy</v>
      </c>
      <c r="I15" s="671"/>
      <c r="J15" s="25"/>
      <c r="K15" s="25"/>
      <c r="R15" s="677"/>
      <c r="S15" s="677"/>
      <c r="T15" s="677"/>
      <c r="U15" s="677"/>
      <c r="V15" s="677"/>
      <c r="W15" s="677"/>
      <c r="X15" s="677"/>
      <c r="Y15" s="677"/>
    </row>
    <row r="16" spans="1:25" x14ac:dyDescent="0.2">
      <c r="A16" s="25"/>
      <c r="B16" s="25"/>
      <c r="C16" s="25"/>
      <c r="D16" s="668"/>
      <c r="E16" s="25"/>
      <c r="F16" s="25"/>
      <c r="G16" s="25"/>
      <c r="H16" s="675"/>
      <c r="I16" s="25"/>
      <c r="J16" s="25"/>
      <c r="K16" s="25"/>
      <c r="L16" s="25" t="s">
        <v>1671</v>
      </c>
      <c r="R16" s="677"/>
      <c r="S16" s="677"/>
      <c r="T16" s="677"/>
      <c r="U16" s="677"/>
      <c r="V16" s="677"/>
      <c r="W16" s="677"/>
      <c r="X16" s="677"/>
      <c r="Y16" s="677"/>
    </row>
    <row r="17" spans="1:25" x14ac:dyDescent="0.2">
      <c r="A17" s="25"/>
      <c r="B17" s="25"/>
      <c r="C17" s="25"/>
      <c r="D17" s="25"/>
      <c r="E17" s="676"/>
      <c r="F17" s="25"/>
      <c r="G17" s="25"/>
      <c r="H17" s="25"/>
      <c r="I17" s="25"/>
      <c r="J17" s="25"/>
      <c r="K17" s="25"/>
      <c r="L17" s="25" t="s">
        <v>1672</v>
      </c>
      <c r="R17" s="677"/>
      <c r="S17" s="677"/>
      <c r="T17" s="677"/>
      <c r="U17" s="677"/>
      <c r="V17" s="677"/>
      <c r="W17" s="677"/>
      <c r="X17" s="677"/>
      <c r="Y17" s="677"/>
    </row>
    <row r="18" spans="1:25" x14ac:dyDescent="0.2">
      <c r="A18" s="25"/>
      <c r="B18" s="898" t="str">
        <f>IF(MASTERSWITCH=1,"EVALUATION PERIOD EXPIRED!","")</f>
        <v/>
      </c>
      <c r="C18" s="898"/>
      <c r="D18" s="898"/>
      <c r="E18" s="668"/>
      <c r="F18" s="25"/>
      <c r="G18" s="25"/>
      <c r="H18" s="25"/>
      <c r="I18" s="25"/>
      <c r="J18" s="677"/>
      <c r="K18" s="677"/>
      <c r="L18" s="677" t="s">
        <v>1673</v>
      </c>
      <c r="M18" s="677"/>
      <c r="N18" s="677"/>
      <c r="O18" s="677"/>
      <c r="P18" s="677"/>
      <c r="Q18" s="677"/>
      <c r="R18" s="677"/>
      <c r="S18" s="677"/>
      <c r="T18" s="677"/>
      <c r="U18" s="677"/>
      <c r="V18" s="677"/>
      <c r="W18" s="677"/>
      <c r="X18" s="677"/>
      <c r="Y18" s="677"/>
    </row>
    <row r="19" spans="1:25" x14ac:dyDescent="0.2">
      <c r="A19" s="25"/>
      <c r="B19" s="898" t="str">
        <f>IF(MASTERSWITCH=1,"PLEASE PURCHASE LICENSE TO","")</f>
        <v/>
      </c>
      <c r="C19" s="898"/>
      <c r="D19" s="898"/>
      <c r="E19" s="25"/>
      <c r="F19" s="25"/>
      <c r="G19" s="25"/>
      <c r="H19" s="25"/>
      <c r="I19" s="25"/>
      <c r="J19" s="677"/>
      <c r="K19" s="677"/>
      <c r="L19" s="677" t="s">
        <v>1674</v>
      </c>
      <c r="M19" s="677"/>
      <c r="N19" s="677"/>
      <c r="O19" s="677"/>
      <c r="P19" s="677"/>
      <c r="Q19" s="677"/>
      <c r="R19" s="677"/>
      <c r="S19" s="677"/>
      <c r="T19" s="677"/>
      <c r="U19" s="677"/>
      <c r="V19" s="677"/>
      <c r="W19" s="677"/>
      <c r="X19" s="677"/>
      <c r="Y19" s="677"/>
    </row>
    <row r="20" spans="1:25" x14ac:dyDescent="0.2">
      <c r="A20" s="25"/>
      <c r="B20" s="898" t="str">
        <f>IF(MASTERSWITCH=1,"CONTINUE USING THIS PROGRAM","")</f>
        <v/>
      </c>
      <c r="C20" s="898"/>
      <c r="D20" s="898"/>
      <c r="E20" s="25"/>
      <c r="F20" s="25"/>
      <c r="G20" s="25"/>
      <c r="H20" s="25"/>
      <c r="I20" s="755"/>
      <c r="J20" s="677"/>
      <c r="K20" s="677"/>
      <c r="L20" s="677"/>
      <c r="M20" s="677"/>
      <c r="N20" s="677"/>
      <c r="O20" s="677"/>
      <c r="P20" s="677"/>
      <c r="Q20" s="677"/>
      <c r="R20" s="677"/>
      <c r="S20" s="677"/>
      <c r="T20" s="677"/>
      <c r="U20" s="677"/>
      <c r="V20" s="677"/>
      <c r="W20" s="677"/>
      <c r="X20" s="677"/>
      <c r="Y20" s="677"/>
    </row>
    <row r="21" spans="1:25" ht="14.25" x14ac:dyDescent="0.2">
      <c r="A21" s="677"/>
      <c r="B21" s="678"/>
      <c r="C21" s="679"/>
      <c r="D21" s="680"/>
      <c r="E21" s="677"/>
      <c r="F21" s="677"/>
      <c r="G21" s="677"/>
      <c r="H21" s="757"/>
      <c r="I21" s="756" t="s">
        <v>1364</v>
      </c>
      <c r="J21" s="681"/>
      <c r="K21" s="677"/>
      <c r="L21" s="682" t="s">
        <v>1675</v>
      </c>
      <c r="M21" s="683">
        <f>IF(D15&lt;=0,1,0)</f>
        <v>0</v>
      </c>
      <c r="N21" s="677"/>
      <c r="O21" s="677"/>
      <c r="P21" s="677"/>
      <c r="Q21" s="677"/>
      <c r="R21" s="677"/>
      <c r="S21" s="677"/>
      <c r="T21" s="677"/>
      <c r="U21" s="677"/>
      <c r="V21" s="677"/>
      <c r="W21" s="677"/>
      <c r="X21" s="677"/>
      <c r="Y21" s="677"/>
    </row>
    <row r="22" spans="1:25" x14ac:dyDescent="0.2">
      <c r="A22" s="677"/>
      <c r="B22" s="678"/>
      <c r="C22" s="678"/>
      <c r="D22" s="680"/>
      <c r="E22" s="677"/>
      <c r="F22" s="677"/>
      <c r="G22" s="677"/>
      <c r="H22" s="677"/>
      <c r="I22" s="677"/>
      <c r="J22" s="681"/>
      <c r="K22" s="677"/>
      <c r="L22" s="677"/>
      <c r="M22" s="684"/>
      <c r="N22" s="677"/>
      <c r="O22" s="677"/>
      <c r="P22" s="677"/>
      <c r="Q22" s="677"/>
      <c r="R22" s="677"/>
      <c r="S22" s="677"/>
      <c r="T22" s="677"/>
      <c r="U22" s="677"/>
      <c r="V22" s="677"/>
      <c r="W22" s="677"/>
      <c r="X22" s="677"/>
      <c r="Y22" s="677"/>
    </row>
    <row r="23" spans="1:25" x14ac:dyDescent="0.2">
      <c r="A23" s="677"/>
      <c r="B23" s="677"/>
      <c r="C23" s="677"/>
      <c r="D23" s="685"/>
      <c r="E23" s="677"/>
      <c r="F23" s="677"/>
      <c r="G23" s="677"/>
      <c r="H23" s="677"/>
      <c r="I23" s="677"/>
      <c r="J23" s="681"/>
      <c r="K23" s="677"/>
      <c r="L23" s="686" t="s">
        <v>1676</v>
      </c>
      <c r="M23" s="677"/>
      <c r="N23" s="677"/>
      <c r="O23" s="677"/>
      <c r="P23" s="677"/>
      <c r="Q23" s="677"/>
      <c r="R23" s="677"/>
      <c r="S23" s="677"/>
      <c r="T23" s="677"/>
      <c r="U23" s="677"/>
      <c r="V23" s="677"/>
      <c r="W23" s="677"/>
      <c r="X23" s="677"/>
      <c r="Y23" s="677"/>
    </row>
    <row r="24" spans="1:25" x14ac:dyDescent="0.2">
      <c r="A24" s="677"/>
      <c r="B24" s="677"/>
      <c r="C24" s="677"/>
      <c r="D24" s="677"/>
      <c r="E24" s="677"/>
      <c r="F24" s="677"/>
      <c r="G24" s="677"/>
      <c r="H24" s="677"/>
      <c r="I24" s="677"/>
      <c r="J24" s="681"/>
      <c r="K24" s="677"/>
      <c r="L24" s="686" t="s">
        <v>1677</v>
      </c>
      <c r="M24" s="677"/>
      <c r="N24" s="677"/>
      <c r="O24" s="677"/>
      <c r="P24" s="677"/>
      <c r="Q24" s="677"/>
      <c r="R24" s="677"/>
      <c r="S24" s="677"/>
      <c r="T24" s="677"/>
      <c r="U24" s="677"/>
      <c r="V24" s="677"/>
      <c r="W24" s="677"/>
      <c r="X24" s="677"/>
      <c r="Y24" s="677"/>
    </row>
    <row r="25" spans="1:25" x14ac:dyDescent="0.2">
      <c r="A25" s="677"/>
      <c r="B25" s="677"/>
      <c r="C25" s="677"/>
      <c r="D25" s="677"/>
      <c r="E25" s="677"/>
      <c r="F25" s="677"/>
      <c r="G25" s="677"/>
      <c r="H25" s="677"/>
      <c r="I25" s="677"/>
      <c r="J25" s="681"/>
      <c r="K25" s="677"/>
      <c r="L25" s="677"/>
      <c r="M25" s="677"/>
      <c r="N25" s="677"/>
      <c r="O25" s="677"/>
      <c r="P25" s="677"/>
      <c r="Q25" s="677"/>
      <c r="R25" s="677"/>
      <c r="S25" s="677"/>
      <c r="T25" s="677"/>
      <c r="U25" s="677"/>
      <c r="V25" s="677"/>
      <c r="W25" s="677"/>
      <c r="X25" s="677"/>
      <c r="Y25" s="677"/>
    </row>
    <row r="26" spans="1:25" x14ac:dyDescent="0.2">
      <c r="A26" s="677"/>
      <c r="B26" s="677"/>
      <c r="C26" s="677"/>
      <c r="D26" s="677"/>
      <c r="E26" s="677"/>
      <c r="F26" s="677"/>
      <c r="G26" s="677"/>
      <c r="H26" s="687"/>
      <c r="I26" s="688"/>
      <c r="J26" s="681"/>
      <c r="K26" s="677"/>
      <c r="L26" s="677"/>
      <c r="M26" s="677"/>
      <c r="N26" s="677"/>
      <c r="O26" s="677"/>
      <c r="P26" s="677"/>
      <c r="Q26" s="677"/>
      <c r="R26" s="677"/>
      <c r="S26" s="677"/>
      <c r="T26" s="677"/>
      <c r="U26" s="677"/>
      <c r="V26" s="677"/>
      <c r="W26" s="677"/>
      <c r="X26" s="677"/>
      <c r="Y26" s="677"/>
    </row>
    <row r="27" spans="1:25" x14ac:dyDescent="0.2">
      <c r="A27" s="689"/>
      <c r="B27" s="690"/>
      <c r="C27" s="689"/>
      <c r="D27" s="691"/>
      <c r="E27" s="692"/>
      <c r="F27" s="677"/>
      <c r="G27" s="677"/>
      <c r="H27" s="677"/>
      <c r="I27" s="686"/>
      <c r="J27" s="677"/>
      <c r="K27" s="677"/>
      <c r="L27" s="677"/>
      <c r="M27" s="677"/>
      <c r="N27" s="677"/>
      <c r="O27" s="677"/>
      <c r="P27" s="677"/>
      <c r="Q27" s="677"/>
      <c r="R27" s="677"/>
      <c r="S27" s="677"/>
      <c r="T27" s="677"/>
      <c r="U27" s="677"/>
      <c r="V27" s="677"/>
      <c r="W27" s="677"/>
      <c r="X27" s="677"/>
      <c r="Y27" s="677"/>
    </row>
    <row r="28" spans="1:25" x14ac:dyDescent="0.2">
      <c r="A28" s="689"/>
      <c r="B28" s="690"/>
      <c r="C28" s="689"/>
      <c r="D28" s="691"/>
      <c r="E28" s="692"/>
      <c r="F28" s="677"/>
      <c r="G28" s="677"/>
      <c r="H28" s="677"/>
      <c r="I28" s="677"/>
      <c r="J28" s="677"/>
      <c r="K28" s="677"/>
      <c r="L28" s="677"/>
      <c r="M28" s="677"/>
      <c r="N28" s="677"/>
      <c r="O28" s="677"/>
      <c r="P28" s="677"/>
      <c r="Q28" s="677"/>
      <c r="R28" s="677"/>
      <c r="S28" s="677"/>
      <c r="T28" s="677"/>
      <c r="U28" s="677"/>
      <c r="V28" s="677"/>
      <c r="W28" s="677"/>
      <c r="X28" s="677"/>
      <c r="Y28" s="677"/>
    </row>
    <row r="29" spans="1:25" x14ac:dyDescent="0.2">
      <c r="A29" s="689"/>
      <c r="B29" s="690"/>
      <c r="C29" s="689"/>
      <c r="D29" s="691"/>
      <c r="E29" s="692"/>
      <c r="F29" s="677"/>
      <c r="G29" s="677"/>
      <c r="H29" s="677"/>
      <c r="I29" s="677"/>
      <c r="J29" s="677"/>
      <c r="K29" s="677"/>
      <c r="L29" s="677"/>
      <c r="M29" s="677"/>
      <c r="N29" s="677"/>
      <c r="O29" s="677"/>
      <c r="P29" s="677"/>
      <c r="Q29" s="677"/>
      <c r="R29" s="677"/>
      <c r="S29" s="677"/>
      <c r="T29" s="677"/>
      <c r="U29" s="677"/>
      <c r="V29" s="677"/>
      <c r="W29" s="677"/>
      <c r="X29" s="677"/>
      <c r="Y29" s="677"/>
    </row>
    <row r="30" spans="1:25" x14ac:dyDescent="0.2">
      <c r="A30" s="689"/>
      <c r="B30" s="690"/>
      <c r="C30" s="689"/>
      <c r="D30" s="691"/>
      <c r="E30" s="692"/>
      <c r="F30" s="677"/>
      <c r="G30" s="677"/>
      <c r="H30" s="677"/>
      <c r="I30" s="677"/>
      <c r="J30" s="677"/>
      <c r="K30" s="677"/>
      <c r="L30" s="677"/>
      <c r="M30" s="677"/>
      <c r="N30" s="677"/>
      <c r="O30" s="677"/>
      <c r="P30" s="677"/>
      <c r="Q30" s="677"/>
      <c r="R30" s="677"/>
      <c r="S30" s="677"/>
      <c r="T30" s="677"/>
      <c r="U30" s="677"/>
      <c r="V30" s="677"/>
      <c r="W30" s="677"/>
      <c r="X30" s="677"/>
      <c r="Y30" s="677"/>
    </row>
    <row r="31" spans="1:25" x14ac:dyDescent="0.2">
      <c r="A31" s="689"/>
      <c r="B31" s="690"/>
      <c r="C31" s="689"/>
      <c r="D31" s="691"/>
      <c r="E31" s="692"/>
      <c r="F31" s="677"/>
      <c r="G31" s="677"/>
      <c r="H31" s="677"/>
      <c r="I31" s="677"/>
      <c r="J31" s="677"/>
      <c r="K31" s="677"/>
      <c r="L31" s="677"/>
      <c r="M31" s="677"/>
      <c r="N31" s="677"/>
      <c r="O31" s="677"/>
      <c r="P31" s="677"/>
      <c r="Q31" s="677"/>
      <c r="R31" s="677"/>
      <c r="S31" s="677"/>
      <c r="T31" s="677"/>
      <c r="U31" s="677"/>
      <c r="V31" s="677"/>
      <c r="W31" s="677"/>
      <c r="X31" s="677"/>
      <c r="Y31" s="677"/>
    </row>
    <row r="32" spans="1:25" x14ac:dyDescent="0.2">
      <c r="A32" s="689"/>
      <c r="B32" s="690"/>
      <c r="C32" s="689"/>
      <c r="D32" s="691"/>
      <c r="E32" s="691"/>
      <c r="F32" s="677"/>
      <c r="G32" s="677"/>
      <c r="H32" s="677"/>
      <c r="I32" s="677"/>
      <c r="J32" s="677"/>
      <c r="K32" s="677"/>
      <c r="L32" s="677"/>
      <c r="M32" s="677"/>
      <c r="N32" s="677"/>
      <c r="O32" s="677"/>
      <c r="P32" s="677"/>
      <c r="Q32" s="677"/>
      <c r="R32" s="677"/>
      <c r="S32" s="677"/>
      <c r="T32" s="677"/>
      <c r="U32" s="677"/>
      <c r="V32" s="677"/>
      <c r="W32" s="677"/>
      <c r="X32" s="677"/>
      <c r="Y32" s="677"/>
    </row>
    <row r="33" spans="1:25" x14ac:dyDescent="0.2">
      <c r="A33" s="689"/>
      <c r="B33" s="689"/>
      <c r="C33" s="689"/>
      <c r="D33" s="693"/>
      <c r="E33" s="693"/>
      <c r="F33" s="677"/>
      <c r="G33" s="677"/>
      <c r="H33" s="677"/>
      <c r="I33" s="677"/>
      <c r="J33" s="677"/>
      <c r="K33" s="677"/>
      <c r="L33" s="677"/>
      <c r="M33" s="677"/>
      <c r="N33" s="677"/>
      <c r="O33" s="677"/>
      <c r="P33" s="677"/>
      <c r="Q33" s="677"/>
      <c r="R33" s="677"/>
      <c r="S33" s="677"/>
      <c r="T33" s="677"/>
      <c r="U33" s="677"/>
      <c r="V33" s="677"/>
      <c r="W33" s="677"/>
      <c r="X33" s="677"/>
      <c r="Y33" s="677"/>
    </row>
    <row r="34" spans="1:25" x14ac:dyDescent="0.2">
      <c r="A34" s="677"/>
      <c r="B34" s="677"/>
      <c r="C34" s="677"/>
      <c r="D34" s="677"/>
      <c r="E34" s="677"/>
      <c r="F34" s="677"/>
      <c r="G34" s="677"/>
      <c r="H34" s="677"/>
      <c r="I34" s="677"/>
      <c r="J34" s="677"/>
      <c r="K34" s="677"/>
      <c r="L34" s="694"/>
      <c r="M34" s="677"/>
      <c r="N34" s="677"/>
      <c r="O34" s="677"/>
      <c r="P34" s="677"/>
      <c r="Q34" s="677"/>
      <c r="R34" s="677"/>
      <c r="S34" s="677"/>
      <c r="T34" s="677"/>
      <c r="U34" s="677"/>
      <c r="V34" s="677"/>
      <c r="W34" s="677"/>
      <c r="X34" s="677"/>
      <c r="Y34" s="677"/>
    </row>
    <row r="35" spans="1:25" x14ac:dyDescent="0.2">
      <c r="A35" s="677"/>
      <c r="B35" s="677"/>
      <c r="C35" s="677"/>
      <c r="D35" s="695"/>
      <c r="E35" s="695"/>
      <c r="F35" s="695"/>
      <c r="G35" s="677"/>
      <c r="H35" s="677"/>
      <c r="I35" s="677"/>
      <c r="J35" s="677"/>
      <c r="K35" s="677"/>
      <c r="L35" s="677"/>
      <c r="M35" s="677"/>
      <c r="N35" s="677"/>
      <c r="O35" s="677"/>
      <c r="P35" s="677"/>
      <c r="Q35" s="677"/>
      <c r="R35" s="677"/>
      <c r="S35" s="677"/>
      <c r="T35" s="677"/>
      <c r="U35" s="677"/>
      <c r="V35" s="677"/>
      <c r="W35" s="677"/>
      <c r="X35" s="677"/>
      <c r="Y35" s="677"/>
    </row>
    <row r="36" spans="1:25" x14ac:dyDescent="0.2">
      <c r="A36" s="677"/>
      <c r="B36" s="677"/>
      <c r="C36" s="677"/>
      <c r="D36" s="696"/>
      <c r="E36" s="678"/>
      <c r="F36" s="678"/>
      <c r="G36" s="677"/>
      <c r="H36" s="677"/>
      <c r="I36" s="677"/>
      <c r="J36" s="677"/>
      <c r="K36" s="677"/>
      <c r="L36" s="677"/>
      <c r="M36" s="677"/>
      <c r="N36" s="677"/>
      <c r="O36" s="677"/>
      <c r="P36" s="677"/>
      <c r="Q36" s="677"/>
      <c r="R36" s="677"/>
      <c r="S36" s="677"/>
      <c r="T36" s="677"/>
      <c r="U36" s="677"/>
      <c r="V36" s="677"/>
      <c r="W36" s="677"/>
      <c r="X36" s="677"/>
      <c r="Y36" s="677"/>
    </row>
    <row r="37" spans="1:25" x14ac:dyDescent="0.2">
      <c r="A37" s="677"/>
      <c r="B37" s="677"/>
      <c r="C37" s="677"/>
      <c r="D37" s="678"/>
      <c r="E37" s="678"/>
      <c r="F37" s="678"/>
      <c r="G37" s="677"/>
      <c r="H37" s="677"/>
      <c r="I37" s="677"/>
      <c r="J37" s="677"/>
      <c r="K37" s="677"/>
      <c r="L37" s="677"/>
      <c r="M37" s="677"/>
      <c r="N37" s="677"/>
      <c r="O37" s="677"/>
      <c r="P37" s="677"/>
      <c r="Q37" s="677"/>
      <c r="R37" s="677"/>
      <c r="S37" s="677"/>
      <c r="T37" s="677"/>
      <c r="U37" s="677"/>
      <c r="V37" s="677"/>
      <c r="W37" s="677"/>
      <c r="X37" s="677"/>
      <c r="Y37" s="677"/>
    </row>
    <row r="38" spans="1:25" x14ac:dyDescent="0.2">
      <c r="A38" s="677"/>
      <c r="B38" s="677"/>
      <c r="C38" s="677"/>
      <c r="D38" s="697"/>
      <c r="E38" s="697"/>
      <c r="F38" s="697"/>
      <c r="G38" s="677"/>
      <c r="H38" s="677"/>
      <c r="I38" s="677"/>
      <c r="J38" s="677"/>
      <c r="K38" s="677"/>
      <c r="L38" s="677"/>
      <c r="M38" s="677"/>
      <c r="N38" s="677"/>
      <c r="O38" s="677"/>
      <c r="P38" s="677"/>
      <c r="Q38" s="677"/>
      <c r="R38" s="677"/>
      <c r="S38" s="677"/>
      <c r="T38" s="677"/>
      <c r="U38" s="677"/>
      <c r="V38" s="677"/>
      <c r="W38" s="677"/>
      <c r="X38" s="677"/>
      <c r="Y38" s="677"/>
    </row>
    <row r="39" spans="1:25" x14ac:dyDescent="0.2">
      <c r="A39" s="677"/>
      <c r="B39" s="677"/>
      <c r="C39" s="677"/>
      <c r="D39" s="677"/>
      <c r="E39" s="677"/>
      <c r="F39" s="677"/>
      <c r="G39" s="677"/>
      <c r="H39" s="677"/>
      <c r="I39" s="677"/>
      <c r="J39" s="677"/>
      <c r="K39" s="677"/>
      <c r="L39" s="677"/>
      <c r="M39" s="677"/>
      <c r="N39" s="677"/>
      <c r="O39" s="677"/>
      <c r="P39" s="677"/>
      <c r="Q39" s="677"/>
      <c r="R39" s="677"/>
      <c r="S39" s="677"/>
      <c r="T39" s="677"/>
      <c r="U39" s="677"/>
      <c r="V39" s="677"/>
      <c r="W39" s="677"/>
      <c r="X39" s="677"/>
      <c r="Y39" s="677"/>
    </row>
    <row r="40" spans="1:25" x14ac:dyDescent="0.2">
      <c r="A40" s="677"/>
      <c r="B40" s="677"/>
      <c r="C40" s="677"/>
      <c r="D40" s="677"/>
      <c r="E40" s="677"/>
      <c r="F40" s="677"/>
      <c r="G40" s="677"/>
      <c r="H40" s="677"/>
      <c r="I40" s="677"/>
      <c r="J40" s="677"/>
      <c r="K40" s="677"/>
      <c r="L40" s="677"/>
      <c r="M40" s="677"/>
      <c r="N40" s="677"/>
      <c r="O40" s="677"/>
      <c r="P40" s="677"/>
      <c r="Q40" s="677"/>
      <c r="R40" s="677"/>
      <c r="S40" s="677"/>
      <c r="T40" s="677"/>
      <c r="U40" s="677"/>
      <c r="V40" s="677"/>
      <c r="W40" s="677"/>
      <c r="X40" s="677"/>
      <c r="Y40" s="677"/>
    </row>
    <row r="41" spans="1:25" x14ac:dyDescent="0.2">
      <c r="A41" s="677"/>
      <c r="B41" s="677"/>
      <c r="C41" s="677"/>
      <c r="D41" s="677"/>
      <c r="E41" s="677"/>
      <c r="F41" s="677"/>
      <c r="G41" s="677"/>
      <c r="H41" s="677"/>
      <c r="I41" s="677"/>
      <c r="J41" s="677"/>
      <c r="K41" s="677"/>
      <c r="L41" s="677"/>
      <c r="M41" s="677"/>
      <c r="N41" s="677"/>
      <c r="O41" s="677"/>
      <c r="P41" s="677"/>
      <c r="Q41" s="677"/>
      <c r="R41" s="677"/>
      <c r="S41" s="677"/>
      <c r="T41" s="677"/>
      <c r="U41" s="677"/>
      <c r="V41" s="677"/>
      <c r="W41" s="677"/>
      <c r="X41" s="677"/>
      <c r="Y41" s="677"/>
    </row>
    <row r="42" spans="1:25" x14ac:dyDescent="0.2">
      <c r="A42" s="677"/>
      <c r="B42" s="677"/>
      <c r="C42" s="677"/>
      <c r="D42" s="677"/>
      <c r="E42" s="677"/>
      <c r="F42" s="677"/>
      <c r="G42" s="677"/>
      <c r="H42" s="677"/>
      <c r="I42" s="677"/>
      <c r="J42" s="677"/>
      <c r="K42" s="677"/>
      <c r="L42" s="677"/>
      <c r="M42" s="677"/>
      <c r="N42" s="677"/>
      <c r="O42" s="677"/>
      <c r="P42" s="677"/>
      <c r="Q42" s="677"/>
      <c r="R42" s="677"/>
      <c r="S42" s="677"/>
      <c r="T42" s="677"/>
      <c r="U42" s="677"/>
      <c r="V42" s="677"/>
      <c r="W42" s="677"/>
      <c r="X42" s="677"/>
      <c r="Y42" s="677"/>
    </row>
    <row r="43" spans="1:25" x14ac:dyDescent="0.2">
      <c r="A43" s="677"/>
      <c r="B43" s="677"/>
      <c r="C43" s="677"/>
      <c r="D43" s="677"/>
      <c r="E43" s="677"/>
      <c r="F43" s="677"/>
      <c r="G43" s="677"/>
      <c r="H43" s="677"/>
      <c r="I43" s="677"/>
      <c r="J43" s="677"/>
      <c r="K43" s="677"/>
      <c r="L43" s="677"/>
      <c r="M43" s="677"/>
      <c r="N43" s="677"/>
      <c r="O43" s="677"/>
      <c r="P43" s="677"/>
      <c r="Q43" s="677"/>
      <c r="R43" s="677"/>
      <c r="S43" s="677"/>
      <c r="T43" s="677"/>
      <c r="U43" s="677"/>
      <c r="V43" s="677"/>
      <c r="W43" s="677"/>
      <c r="X43" s="677"/>
      <c r="Y43" s="677"/>
    </row>
    <row r="44" spans="1:25" x14ac:dyDescent="0.2">
      <c r="A44" s="677"/>
      <c r="B44" s="677"/>
      <c r="C44" s="677"/>
      <c r="D44" s="677"/>
      <c r="E44" s="677"/>
      <c r="F44" s="677"/>
      <c r="G44" s="677"/>
      <c r="H44" s="677"/>
      <c r="I44" s="677"/>
      <c r="J44" s="677"/>
      <c r="K44" s="677"/>
      <c r="L44" s="677"/>
      <c r="M44" s="677"/>
      <c r="N44" s="677"/>
      <c r="O44" s="677"/>
      <c r="P44" s="677"/>
      <c r="Q44" s="677"/>
      <c r="R44" s="677"/>
      <c r="S44" s="677"/>
      <c r="T44" s="677"/>
      <c r="U44" s="677"/>
      <c r="V44" s="677"/>
      <c r="W44" s="677"/>
      <c r="X44" s="677"/>
      <c r="Y44" s="677"/>
    </row>
    <row r="45" spans="1:25" x14ac:dyDescent="0.2">
      <c r="A45" s="677"/>
      <c r="B45" s="677"/>
      <c r="C45" s="677"/>
      <c r="D45" s="677"/>
      <c r="E45" s="677"/>
      <c r="F45" s="677"/>
      <c r="G45" s="677"/>
      <c r="H45" s="677"/>
      <c r="I45" s="677"/>
      <c r="J45" s="677"/>
      <c r="K45" s="677"/>
      <c r="L45" s="677"/>
      <c r="M45" s="677"/>
      <c r="N45" s="677"/>
      <c r="O45" s="677"/>
      <c r="P45" s="677"/>
      <c r="Q45" s="677"/>
      <c r="R45" s="677"/>
      <c r="S45" s="677"/>
      <c r="T45" s="677"/>
      <c r="U45" s="677"/>
      <c r="V45" s="677"/>
      <c r="W45" s="677"/>
      <c r="X45" s="677"/>
      <c r="Y45" s="677"/>
    </row>
    <row r="46" spans="1:25" x14ac:dyDescent="0.2">
      <c r="A46" s="677"/>
      <c r="B46" s="677"/>
      <c r="C46" s="677"/>
      <c r="D46" s="677"/>
      <c r="E46" s="677"/>
      <c r="F46" s="677"/>
      <c r="G46" s="677"/>
      <c r="H46" s="677"/>
      <c r="I46" s="677"/>
      <c r="J46" s="677"/>
      <c r="K46" s="677"/>
      <c r="L46" s="677"/>
      <c r="M46" s="677"/>
      <c r="N46" s="677"/>
      <c r="O46" s="677"/>
      <c r="P46" s="677"/>
      <c r="Q46" s="677"/>
      <c r="R46" s="677"/>
      <c r="S46" s="677"/>
      <c r="T46" s="677"/>
      <c r="U46" s="677"/>
      <c r="V46" s="677"/>
      <c r="W46" s="677"/>
      <c r="X46" s="677"/>
      <c r="Y46" s="677"/>
    </row>
    <row r="47" spans="1:25" x14ac:dyDescent="0.2">
      <c r="A47" s="677"/>
      <c r="B47" s="677"/>
      <c r="C47" s="677"/>
      <c r="D47" s="677"/>
      <c r="E47" s="677"/>
      <c r="F47" s="677"/>
      <c r="G47" s="677"/>
      <c r="H47" s="677"/>
      <c r="I47" s="677"/>
      <c r="J47" s="677"/>
      <c r="K47" s="677"/>
      <c r="L47" s="677"/>
      <c r="M47" s="677"/>
      <c r="N47" s="677"/>
      <c r="O47" s="677"/>
      <c r="P47" s="677"/>
      <c r="Q47" s="677"/>
      <c r="R47" s="677"/>
      <c r="S47" s="677"/>
      <c r="T47" s="677"/>
      <c r="U47" s="677"/>
      <c r="V47" s="677"/>
      <c r="W47" s="677"/>
      <c r="X47" s="677"/>
      <c r="Y47" s="677"/>
    </row>
    <row r="48" spans="1:25" x14ac:dyDescent="0.2">
      <c r="A48" s="677"/>
      <c r="B48" s="677"/>
      <c r="C48" s="677"/>
      <c r="D48" s="677"/>
      <c r="E48" s="677"/>
      <c r="F48" s="677"/>
      <c r="G48" s="677"/>
      <c r="H48" s="677"/>
      <c r="I48" s="677"/>
      <c r="J48" s="677"/>
      <c r="K48" s="677"/>
      <c r="L48" s="677"/>
      <c r="M48" s="677"/>
      <c r="N48" s="677"/>
      <c r="O48" s="677"/>
      <c r="P48" s="677"/>
      <c r="Q48" s="677"/>
      <c r="R48" s="677"/>
      <c r="S48" s="677"/>
      <c r="T48" s="677"/>
      <c r="U48" s="677"/>
      <c r="V48" s="677"/>
      <c r="W48" s="677"/>
      <c r="X48" s="677"/>
      <c r="Y48" s="677"/>
    </row>
  </sheetData>
  <sheetProtection password="C59E" sheet="1" objects="1" scenarios="1" selectLockedCells="1"/>
  <mergeCells count="6">
    <mergeCell ref="C2:H2"/>
    <mergeCell ref="B20:D20"/>
    <mergeCell ref="C7:G7"/>
    <mergeCell ref="E11:I11"/>
    <mergeCell ref="B18:D18"/>
    <mergeCell ref="B19:D19"/>
  </mergeCells>
  <phoneticPr fontId="15" type="noConversion"/>
  <conditionalFormatting sqref="C3">
    <cfRule type="expression" dxfId="4" priority="1" stopIfTrue="1">
      <formula>(E3=1)</formula>
    </cfRule>
  </conditionalFormatting>
  <conditionalFormatting sqref="B3">
    <cfRule type="expression" dxfId="3" priority="2" stopIfTrue="1">
      <formula>(E3=1)</formula>
    </cfRule>
  </conditionalFormatting>
  <conditionalFormatting sqref="E11:I11">
    <cfRule type="expression" dxfId="2" priority="3" stopIfTrue="1">
      <formula>(ISBLANK(G9)=TRUE)</formula>
    </cfRule>
  </conditionalFormatting>
  <conditionalFormatting sqref="B9 D9">
    <cfRule type="cellIs" dxfId="1" priority="4" stopIfTrue="1" operator="equal">
      <formula>"Incorrect number of user copies selected -- &gt;"</formula>
    </cfRule>
  </conditionalFormatting>
  <conditionalFormatting sqref="B18:D20">
    <cfRule type="expression" dxfId="0" priority="5" stopIfTrue="1">
      <formula>(MASTERSWITCH=1)</formula>
    </cfRule>
  </conditionalFormatting>
  <dataValidations count="9">
    <dataValidation type="textLength" operator="equal" allowBlank="1" showInputMessage="1" showErrorMessage="1" errorTitle="Incorrect Code" error="Please check the numbers and try again." promptTitle="MU Code" prompt="If you purchased a Multi-user version, please enter the LAST 4 digits of the MU Code here.  XXXXX-1234" sqref="G9">
      <formula1>4</formula1>
    </dataValidation>
    <dataValidation type="whole" operator="equal" allowBlank="1" showInputMessage="1" showErrorMessage="1" errorTitle="Incorrect Code" error="Please check the numbers and try again." promptTitle="MU Code:" prompt="If you purchased a Multi-user version, please enter the first 5 digits of the MU Code here.  12345-XXXXXXXX" sqref="E9">
      <formula1>59283</formula1>
    </dataValidation>
    <dataValidation operator="equal" allowBlank="1" showInputMessage="1" showErrorMessage="1" sqref="E10"/>
    <dataValidation type="whole" allowBlank="1" showInputMessage="1" showErrorMessage="1" errorTitle="INCORRECT" error="You have entered the wrong number.  Please verify that the number is correct." promptTitle="1234 - XXXX - XXXX" prompt="Enter the FIRST 4 digits here - then hit TAB to move to the next field." sqref="C4">
      <formula1>1900</formula1>
      <formula2>1995</formula2>
    </dataValidation>
    <dataValidation showInputMessage="1" showErrorMessage="1" sqref="L9"/>
    <dataValidation type="whole" operator="equal" allowBlank="1" showInputMessage="1" showErrorMessage="1" errorTitle="INCORRECT" error="You have entered the wrong number.  Please verify that the number is correct." promptTitle="CODE:" prompt="Enter the activation code here" sqref="C5">
      <formula1>K4</formula1>
    </dataValidation>
    <dataValidation type="date" allowBlank="1" showInputMessage="1" showErrorMessage="1" errorTitle="WRONG DATE!" error="This is NOT todays date!  Please check your calendar and try again.  Please enter it in the following format:  MM/DD/YYYY" promptTitle="Enter Date" prompt="Please enter today's date to activate your evaluation period._x000a_TIP: Hold the control key and press the semicolon to insert todays date." sqref="C3">
      <formula1>(TODAY())</formula1>
      <formula2>(TODAY())</formula2>
    </dataValidation>
    <dataValidation type="textLength" allowBlank="1" showInputMessage="1" showErrorMessage="1" errorTitle="Check Entry" error="4 digits are required in this field" promptTitle="XXXX-1234-XXXX" prompt="4 digits are required in this field - then hit TAB to move to the next field." sqref="D4">
      <formula1>1</formula1>
      <formula2>4</formula2>
    </dataValidation>
    <dataValidation type="textLength" allowBlank="1" showInputMessage="1" showErrorMessage="1" errorTitle="Check Entry" error="4 digits are required in this field" promptTitle="XXXX - XXXX - 1234" prompt="Enter LAST 4 digits here - then hit TAB to move to the next field." sqref="E4">
      <formula1>1</formula1>
      <formula2>4</formula2>
    </dataValidation>
  </dataValidations>
  <pageMargins left="0.75" right="0.75" top="1" bottom="1" header="0.5" footer="0.5"/>
  <pageSetup orientation="portrait" horizontalDpi="0" verticalDpi="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H14"/>
  <sheetViews>
    <sheetView showRowColHeaders="0" workbookViewId="0">
      <selection activeCell="B4" sqref="B4"/>
    </sheetView>
  </sheetViews>
  <sheetFormatPr defaultRowHeight="12.75" x14ac:dyDescent="0.2"/>
  <cols>
    <col min="1" max="1" width="3.7109375" style="25" customWidth="1"/>
    <col min="2" max="2" width="20.140625" style="25" customWidth="1"/>
    <col min="3" max="3" width="18.42578125" style="25" customWidth="1"/>
    <col min="4" max="4" width="2.7109375" style="25" customWidth="1"/>
    <col min="5" max="5" width="19.5703125" style="25" customWidth="1"/>
    <col min="6" max="6" width="27.42578125" style="25" customWidth="1"/>
    <col min="7" max="16384" width="9.140625" style="25"/>
  </cols>
  <sheetData>
    <row r="1" spans="1:8" x14ac:dyDescent="0.2">
      <c r="A1"/>
    </row>
    <row r="3" spans="1:8" ht="18.75" customHeight="1" x14ac:dyDescent="0.3">
      <c r="B3" s="614" t="s">
        <v>475</v>
      </c>
      <c r="C3" s="599"/>
      <c r="D3" s="599"/>
      <c r="E3" s="599"/>
      <c r="F3" s="599"/>
      <c r="G3" s="599"/>
      <c r="H3" s="599"/>
    </row>
    <row r="4" spans="1:8" ht="62.25" customHeight="1" x14ac:dyDescent="0.2">
      <c r="B4" s="727" t="s">
        <v>286</v>
      </c>
      <c r="E4" s="727" t="s">
        <v>1604</v>
      </c>
    </row>
    <row r="5" spans="1:8" ht="60.75" customHeight="1" x14ac:dyDescent="0.2">
      <c r="B5" s="727" t="s">
        <v>288</v>
      </c>
      <c r="E5" s="727" t="s">
        <v>1788</v>
      </c>
    </row>
    <row r="6" spans="1:8" ht="61.5" customHeight="1" x14ac:dyDescent="0.2">
      <c r="B6" s="728" t="s">
        <v>252</v>
      </c>
      <c r="E6" s="727" t="s">
        <v>660</v>
      </c>
    </row>
    <row r="7" spans="1:8" ht="60.75" customHeight="1" x14ac:dyDescent="0.2">
      <c r="B7" s="727" t="s">
        <v>428</v>
      </c>
      <c r="E7" s="727" t="s">
        <v>1025</v>
      </c>
    </row>
    <row r="8" spans="1:8" ht="59.25" customHeight="1" x14ac:dyDescent="0.2">
      <c r="B8" s="727" t="s">
        <v>460</v>
      </c>
      <c r="E8" s="35"/>
    </row>
    <row r="9" spans="1:8" ht="12.75" customHeight="1" x14ac:dyDescent="0.2">
      <c r="B9" s="35"/>
    </row>
    <row r="10" spans="1:8" ht="12.75" customHeight="1" x14ac:dyDescent="0.2"/>
    <row r="11" spans="1:8" ht="12.75" customHeight="1" x14ac:dyDescent="0.2"/>
    <row r="12" spans="1:8" ht="12.75" customHeight="1" x14ac:dyDescent="0.2"/>
    <row r="14" spans="1:8" x14ac:dyDescent="0.2">
      <c r="B14" s="24"/>
      <c r="C14" s="24"/>
      <c r="D14" s="185"/>
      <c r="E14" s="24"/>
    </row>
  </sheetData>
  <sheetProtection sheet="1" objects="1" scenarios="1" selectLockedCells="1"/>
  <phoneticPr fontId="15" type="noConversion"/>
  <hyperlinks>
    <hyperlink ref="B4" location="Shackles!A1" tooltip="Shackles" display="Shackles"/>
    <hyperlink ref="B5" location="WideBody!A1" tooltip="Wide Body Shackles" display="Wide Body Shackles"/>
    <hyperlink ref="B7" location="Eyebolts!A1" tooltip="Eye Bolts" display="Eye Bolts"/>
    <hyperlink ref="B8" location="HoistRings!A1" tooltip="Hoist Rings / Stubbies" display="Hoist Rings / Stubbies"/>
    <hyperlink ref="E4" location="'Synthetic Slings'!A1" tooltip="Synthetic Slings" display="Synthetic Slings"/>
    <hyperlink ref="E5" location="'Chain Slings'!A1" tooltip="Chain Slings" display="Chain Slings"/>
    <hyperlink ref="E7" location="'Twin-Path® Slings'!A1" tooltip="Twin-Path® Slings" display="Twin-Path® Slings"/>
    <hyperlink ref="E6" location="'Wire Rope Slings'!A1" tooltip="Wire Rope Slings" display="Wire Rope Slings"/>
    <hyperlink ref="B6" location="'Web Shackles'!A1" tooltip="Web &amp; Roundsling Shackles" display="Web &amp; Roundsling Shackles"/>
  </hyperlinks>
  <printOptions horizontalCentered="1"/>
  <pageMargins left="0.75" right="0.75" top="1.75" bottom="1.5" header="0.5" footer="0.5"/>
  <pageSetup scale="85" orientation="portrait" horizontalDpi="0" verticalDpi="0" r:id="rId1"/>
  <headerFooter alignWithMargins="0">
    <oddHeader>&amp;L&amp;G&amp;R&amp;G</oddHeader>
    <oddFooter>&amp;C&amp;G</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H18"/>
  <sheetViews>
    <sheetView showRowColHeaders="0" workbookViewId="0">
      <selection activeCell="B4" sqref="B4"/>
    </sheetView>
  </sheetViews>
  <sheetFormatPr defaultRowHeight="12.75" x14ac:dyDescent="0.2"/>
  <cols>
    <col min="1" max="1" width="1" style="25" customWidth="1"/>
    <col min="2" max="2" width="20.140625" style="25" customWidth="1"/>
    <col min="3" max="3" width="18.85546875" style="25" customWidth="1"/>
    <col min="4" max="4" width="13.28515625" style="25" customWidth="1"/>
    <col min="5" max="5" width="16.5703125" style="25" customWidth="1"/>
    <col min="6" max="6" width="12.5703125" style="25" customWidth="1"/>
    <col min="7" max="7" width="8.7109375" style="25" customWidth="1"/>
    <col min="8" max="16384" width="9.140625" style="25"/>
  </cols>
  <sheetData>
    <row r="1" spans="1:8" x14ac:dyDescent="0.2">
      <c r="A1"/>
    </row>
    <row r="2" spans="1:8" x14ac:dyDescent="0.2">
      <c r="C2" s="70"/>
      <c r="D2" s="70"/>
      <c r="E2" s="70"/>
      <c r="F2" s="70"/>
    </row>
    <row r="3" spans="1:8" ht="18.75" x14ac:dyDescent="0.3">
      <c r="B3" s="853" t="s">
        <v>254</v>
      </c>
      <c r="C3" s="853"/>
      <c r="D3" s="853"/>
      <c r="E3" s="853"/>
      <c r="F3" s="853"/>
      <c r="G3" s="853"/>
      <c r="H3" s="616"/>
    </row>
    <row r="4" spans="1:8" ht="45" customHeight="1" x14ac:dyDescent="0.2">
      <c r="B4" s="727" t="s">
        <v>477</v>
      </c>
      <c r="C4" s="356"/>
      <c r="D4" s="35"/>
      <c r="E4" s="356"/>
      <c r="F4" s="854" t="s">
        <v>723</v>
      </c>
      <c r="G4" s="855"/>
      <c r="H4" s="35"/>
    </row>
    <row r="5" spans="1:8" ht="12.75" customHeight="1" x14ac:dyDescent="0.2">
      <c r="A5" s="612"/>
      <c r="B5" s="35"/>
      <c r="C5" s="356"/>
      <c r="D5" s="35"/>
      <c r="E5" s="356"/>
      <c r="G5" s="356"/>
    </row>
    <row r="6" spans="1:8" ht="57.75" customHeight="1" x14ac:dyDescent="0.2">
      <c r="A6" s="611"/>
      <c r="B6" s="752" t="s">
        <v>1100</v>
      </c>
      <c r="C6" s="356"/>
      <c r="D6" s="728" t="s">
        <v>1679</v>
      </c>
      <c r="E6" s="356"/>
      <c r="G6" s="356"/>
    </row>
    <row r="7" spans="1:8" ht="12.75" customHeight="1" x14ac:dyDescent="0.2">
      <c r="B7" s="726"/>
      <c r="C7" s="469"/>
      <c r="D7" s="730"/>
      <c r="E7" s="376"/>
      <c r="F7" s="24"/>
      <c r="G7" s="356"/>
    </row>
    <row r="8" spans="1:8" ht="48" customHeight="1" x14ac:dyDescent="0.2">
      <c r="B8" s="729" t="s">
        <v>1952</v>
      </c>
      <c r="C8" s="70"/>
      <c r="D8" s="731" t="s">
        <v>1680</v>
      </c>
      <c r="E8" s="356"/>
      <c r="G8" s="356"/>
    </row>
    <row r="9" spans="1:8" ht="12.75" customHeight="1" x14ac:dyDescent="0.2">
      <c r="B9" s="35"/>
      <c r="C9" s="356"/>
      <c r="D9" s="35"/>
      <c r="E9" s="356"/>
      <c r="G9" s="356"/>
    </row>
    <row r="10" spans="1:8" ht="50.25" customHeight="1" x14ac:dyDescent="0.2">
      <c r="B10" s="727" t="s">
        <v>479</v>
      </c>
      <c r="C10" s="356"/>
      <c r="D10" s="35"/>
      <c r="E10" s="356"/>
      <c r="G10" s="356"/>
    </row>
    <row r="11" spans="1:8" ht="12.75" customHeight="1" x14ac:dyDescent="0.2">
      <c r="B11" s="35"/>
      <c r="C11" s="70"/>
      <c r="D11" s="732"/>
      <c r="E11" s="356"/>
      <c r="G11" s="356"/>
    </row>
    <row r="12" spans="1:8" ht="51.75" customHeight="1" x14ac:dyDescent="0.2">
      <c r="B12" s="727" t="s">
        <v>478</v>
      </c>
      <c r="D12" s="732"/>
      <c r="E12" s="356"/>
      <c r="G12" s="356"/>
    </row>
    <row r="13" spans="1:8" ht="12.75" customHeight="1" x14ac:dyDescent="0.2">
      <c r="B13" s="35"/>
      <c r="D13" s="615"/>
      <c r="E13" s="356"/>
      <c r="G13" s="356"/>
    </row>
    <row r="14" spans="1:8" ht="12.75" customHeight="1" x14ac:dyDescent="0.2">
      <c r="D14" s="615"/>
      <c r="E14" s="356"/>
    </row>
    <row r="15" spans="1:8" ht="12.75" customHeight="1" x14ac:dyDescent="0.2"/>
    <row r="16" spans="1:8" ht="12.75" customHeight="1" x14ac:dyDescent="0.2">
      <c r="B16" s="633"/>
    </row>
    <row r="18" spans="2:5" x14ac:dyDescent="0.2">
      <c r="B18" s="24"/>
      <c r="C18" s="24"/>
      <c r="D18" s="185"/>
      <c r="E18" s="24"/>
    </row>
  </sheetData>
  <sheetProtection password="D809" sheet="1" objects="1" scenarios="1" selectLockedCells="1"/>
  <mergeCells count="2">
    <mergeCell ref="B3:G3"/>
    <mergeCell ref="F4:G4"/>
  </mergeCells>
  <phoneticPr fontId="15" type="noConversion"/>
  <hyperlinks>
    <hyperlink ref="B4" location="Calc4" tooltip="Simple 2-leg configuration" display="2 Leg sling tensions"/>
    <hyperlink ref="D6" location="Calc10" tooltip="2-leg choker hitch reductions" display="Choker Hitch Reduction using two slings"/>
    <hyperlink ref="B8" location="Calc6" tooltip="by the book" display="Tension Calculations &quot;by the Book&quot;"/>
    <hyperlink ref="B6" location="Calc4" tooltip="Non-Symmetrical Lift" display="Non-Symmetrical Lift"/>
    <hyperlink ref="B10" location="Calc8" tooltip="Drifting Loads" display="Drifting Loads"/>
    <hyperlink ref="B12" location="Calc7" tooltip="Tight Lines" display="Tightlines"/>
    <hyperlink ref="F4" location="'Trig-a'!C3" display="Solve Right Angle Triangle Problems"/>
    <hyperlink ref="D8" location="Calc9" tooltip="Single choker hitch reduction" display="Choker Hitch Reduction using ONE sling"/>
    <hyperlink ref="F4:G4" location="'Trig-a'!C3" tooltip="Solve for unknowns" display="Solve Right Angle Triangle Problems"/>
  </hyperlinks>
  <printOptions horizontalCentered="1"/>
  <pageMargins left="0.75" right="0.75" top="1.75" bottom="1.5" header="0.5" footer="0.5"/>
  <pageSetup orientation="portrait" horizontalDpi="300" verticalDpi="300" r:id="rId1"/>
  <headerFooter alignWithMargins="0">
    <oddHeader>&amp;L&amp;G&amp;R&amp;G</oddHeader>
    <oddFooter>&amp;C&amp;G</oddFooter>
  </headerFooter>
  <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FC204"/>
  <sheetViews>
    <sheetView workbookViewId="0">
      <selection activeCell="B13" sqref="B13"/>
    </sheetView>
  </sheetViews>
  <sheetFormatPr defaultRowHeight="12.75" x14ac:dyDescent="0.2"/>
  <cols>
    <col min="1" max="1" width="3.7109375" customWidth="1"/>
    <col min="2" max="2" width="24.7109375" customWidth="1"/>
    <col min="3" max="3" width="2" customWidth="1"/>
    <col min="4" max="5" width="12.5703125" bestFit="1" customWidth="1"/>
    <col min="6" max="6" width="12.7109375" bestFit="1" customWidth="1"/>
    <col min="7" max="8" width="14.140625" bestFit="1" customWidth="1"/>
    <col min="9" max="9" width="15.85546875" bestFit="1" customWidth="1"/>
    <col min="10" max="10" width="14.42578125" bestFit="1" customWidth="1"/>
    <col min="11" max="11" width="15.85546875" bestFit="1" customWidth="1"/>
    <col min="12" max="12" width="12.85546875" bestFit="1" customWidth="1"/>
    <col min="13" max="13" width="14.140625" bestFit="1" customWidth="1"/>
    <col min="14" max="14" width="14" bestFit="1" customWidth="1"/>
    <col min="15" max="15" width="15.5703125" bestFit="1" customWidth="1"/>
    <col min="16" max="16" width="13.85546875" customWidth="1"/>
    <col min="17" max="17" width="14.140625" customWidth="1"/>
    <col min="18" max="22" width="12.42578125" bestFit="1" customWidth="1"/>
    <col min="27" max="27" width="11" bestFit="1" customWidth="1"/>
  </cols>
  <sheetData>
    <row r="1" spans="1:20" x14ac:dyDescent="0.2">
      <c r="A1" s="870"/>
      <c r="B1" s="870"/>
      <c r="C1" s="25"/>
      <c r="D1" s="25"/>
      <c r="E1" s="25"/>
      <c r="F1" s="25"/>
      <c r="G1" s="25"/>
      <c r="H1" s="25"/>
      <c r="I1" s="25"/>
      <c r="J1" s="25"/>
      <c r="K1" s="25"/>
      <c r="L1" s="25"/>
      <c r="M1" s="25"/>
      <c r="N1" s="25"/>
      <c r="O1" s="25"/>
      <c r="P1" s="25"/>
      <c r="Q1" s="25"/>
      <c r="R1" s="25"/>
      <c r="S1" s="25"/>
      <c r="T1" s="25"/>
    </row>
    <row r="2" spans="1:20" x14ac:dyDescent="0.2">
      <c r="A2" s="25"/>
      <c r="B2" s="25"/>
      <c r="C2" s="25"/>
      <c r="D2" s="863" t="s">
        <v>382</v>
      </c>
      <c r="E2" s="863"/>
      <c r="F2" s="863"/>
      <c r="G2" s="863"/>
      <c r="H2" s="863"/>
      <c r="I2" s="863"/>
      <c r="J2" s="25"/>
      <c r="K2" s="25"/>
      <c r="L2" s="25"/>
      <c r="M2" s="25"/>
      <c r="N2" s="25"/>
      <c r="O2" s="25"/>
      <c r="P2" s="25"/>
      <c r="Q2" s="25"/>
      <c r="R2" s="25"/>
      <c r="S2" s="25"/>
      <c r="T2" s="25"/>
    </row>
    <row r="3" spans="1:20" x14ac:dyDescent="0.2">
      <c r="A3" s="25"/>
      <c r="B3" s="25"/>
      <c r="C3" s="25"/>
      <c r="D3" s="863"/>
      <c r="E3" s="863"/>
      <c r="F3" s="863"/>
      <c r="G3" s="863"/>
      <c r="H3" s="863"/>
      <c r="I3" s="863"/>
      <c r="J3" s="25"/>
      <c r="K3" s="25"/>
      <c r="L3" s="25"/>
      <c r="M3" s="25"/>
      <c r="N3" s="25"/>
      <c r="O3" s="25"/>
      <c r="P3" s="25"/>
      <c r="Q3" s="25"/>
      <c r="R3" s="25"/>
      <c r="S3" s="25"/>
      <c r="T3" s="25"/>
    </row>
    <row r="4" spans="1:20" x14ac:dyDescent="0.2">
      <c r="A4" s="25"/>
      <c r="B4" s="25"/>
      <c r="C4" s="25"/>
      <c r="D4" s="25"/>
      <c r="E4" s="25"/>
      <c r="F4" s="25"/>
      <c r="G4" s="25"/>
      <c r="H4" s="25"/>
      <c r="I4" s="25"/>
      <c r="J4" s="25"/>
      <c r="K4" s="25"/>
      <c r="L4" s="25"/>
      <c r="M4" s="25"/>
      <c r="N4" s="25"/>
      <c r="O4" s="25"/>
      <c r="P4" s="25"/>
      <c r="Q4" s="25"/>
      <c r="R4" s="25"/>
      <c r="S4" s="25"/>
      <c r="T4" s="25"/>
    </row>
    <row r="5" spans="1:20" x14ac:dyDescent="0.2">
      <c r="A5" s="25"/>
      <c r="B5" s="69"/>
      <c r="C5" s="25"/>
      <c r="D5" s="69" t="s">
        <v>379</v>
      </c>
      <c r="E5" s="25"/>
      <c r="F5" s="25"/>
      <c r="G5" s="25"/>
      <c r="H5" s="25"/>
      <c r="I5" s="25"/>
      <c r="J5" s="25"/>
      <c r="K5" s="25"/>
      <c r="L5" s="25"/>
      <c r="M5" s="25"/>
      <c r="N5" s="25"/>
      <c r="O5" s="25"/>
      <c r="P5" s="25"/>
      <c r="Q5" s="25"/>
      <c r="R5" s="25"/>
      <c r="S5" s="25"/>
      <c r="T5" s="25"/>
    </row>
    <row r="6" spans="1:20" x14ac:dyDescent="0.2">
      <c r="A6" s="25"/>
      <c r="B6" s="69" t="s">
        <v>378</v>
      </c>
      <c r="C6" s="25"/>
      <c r="D6" s="25" t="s">
        <v>380</v>
      </c>
      <c r="E6" s="25"/>
      <c r="F6" s="25"/>
      <c r="G6" s="25"/>
      <c r="H6" s="25"/>
      <c r="I6" s="25"/>
      <c r="J6" s="25"/>
      <c r="K6" s="25"/>
      <c r="L6" s="25"/>
      <c r="M6" s="25"/>
      <c r="N6" s="25"/>
      <c r="O6" s="25"/>
      <c r="P6" s="25"/>
      <c r="Q6" s="25"/>
      <c r="R6" s="25"/>
      <c r="S6" s="25"/>
      <c r="T6" s="25"/>
    </row>
    <row r="7" spans="1:20" x14ac:dyDescent="0.2">
      <c r="A7" s="25"/>
      <c r="B7" s="25"/>
      <c r="C7" s="25"/>
      <c r="D7" s="25" t="s">
        <v>722</v>
      </c>
      <c r="E7" s="25"/>
      <c r="F7" s="25"/>
      <c r="G7" s="25"/>
      <c r="H7" s="25"/>
      <c r="I7" s="25"/>
      <c r="J7" s="25"/>
      <c r="K7" s="25"/>
      <c r="L7" s="25"/>
      <c r="M7" s="25"/>
      <c r="N7" s="25"/>
      <c r="O7" s="25"/>
      <c r="P7" s="25"/>
      <c r="Q7" s="25"/>
      <c r="R7" s="25"/>
      <c r="S7" s="25"/>
      <c r="T7" s="25"/>
    </row>
    <row r="8" spans="1:20" x14ac:dyDescent="0.2">
      <c r="A8" s="25"/>
      <c r="B8" s="25"/>
      <c r="C8" s="25"/>
      <c r="D8" s="25"/>
      <c r="E8" s="25"/>
      <c r="F8" s="25"/>
      <c r="G8" s="25"/>
      <c r="H8" s="25"/>
      <c r="I8" s="25"/>
      <c r="J8" s="25"/>
      <c r="K8" s="25"/>
      <c r="L8" s="25"/>
      <c r="M8" s="25"/>
      <c r="N8" s="25"/>
      <c r="O8" s="25"/>
      <c r="P8" s="25"/>
      <c r="Q8" s="25"/>
      <c r="R8" s="25"/>
      <c r="S8" s="25"/>
      <c r="T8" s="25"/>
    </row>
    <row r="9" spans="1:20" x14ac:dyDescent="0.2">
      <c r="A9" s="25"/>
      <c r="B9" s="25"/>
      <c r="C9" s="25"/>
      <c r="D9" s="635" t="s">
        <v>1815</v>
      </c>
      <c r="E9" s="25"/>
      <c r="F9" s="25"/>
      <c r="G9" s="25"/>
      <c r="H9" s="25"/>
      <c r="I9" s="25"/>
      <c r="J9" s="25"/>
      <c r="K9" s="25"/>
      <c r="L9" s="25"/>
      <c r="M9" s="25"/>
      <c r="N9" s="25"/>
      <c r="O9" s="25"/>
      <c r="P9" s="25"/>
      <c r="Q9" s="25"/>
      <c r="R9" s="25"/>
      <c r="S9" s="25"/>
      <c r="T9" s="25"/>
    </row>
    <row r="10" spans="1:20" x14ac:dyDescent="0.2">
      <c r="A10" s="25"/>
      <c r="B10" s="25"/>
      <c r="C10" s="25"/>
      <c r="D10" s="25"/>
      <c r="E10" s="25"/>
      <c r="F10" s="25"/>
      <c r="G10" s="25"/>
      <c r="H10" s="25"/>
      <c r="I10" s="25"/>
      <c r="J10" s="25"/>
      <c r="K10" s="25"/>
      <c r="L10" s="25"/>
      <c r="M10" s="25"/>
      <c r="N10" s="24"/>
      <c r="O10" s="25"/>
      <c r="P10" s="25"/>
      <c r="Q10" s="25"/>
      <c r="R10" s="25"/>
      <c r="S10" s="25"/>
      <c r="T10" s="25"/>
    </row>
    <row r="11" spans="1:20" ht="18" x14ac:dyDescent="0.25">
      <c r="A11" s="25"/>
      <c r="B11" s="69" t="s">
        <v>381</v>
      </c>
      <c r="C11" s="69"/>
      <c r="D11" s="185" t="s">
        <v>1022</v>
      </c>
      <c r="E11" s="185" t="s">
        <v>1023</v>
      </c>
      <c r="F11" s="185" t="s">
        <v>784</v>
      </c>
      <c r="G11" s="185" t="s">
        <v>828</v>
      </c>
      <c r="H11" s="185" t="s">
        <v>841</v>
      </c>
      <c r="I11" s="185" t="s">
        <v>865</v>
      </c>
      <c r="J11" s="185" t="s">
        <v>891</v>
      </c>
      <c r="K11" s="185" t="s">
        <v>915</v>
      </c>
      <c r="L11" s="629"/>
      <c r="M11" s="630"/>
      <c r="N11" s="25"/>
      <c r="O11" s="25"/>
      <c r="P11" s="25"/>
      <c r="Q11" s="25"/>
      <c r="R11" s="25"/>
      <c r="S11" s="25"/>
      <c r="T11" s="25"/>
    </row>
    <row r="12" spans="1:20" ht="15.75" x14ac:dyDescent="0.25">
      <c r="A12" s="25"/>
      <c r="B12" s="25"/>
      <c r="C12" s="25"/>
      <c r="D12" s="185" t="s">
        <v>926</v>
      </c>
      <c r="E12" s="185" t="s">
        <v>933</v>
      </c>
      <c r="F12" s="185" t="s">
        <v>955</v>
      </c>
      <c r="G12" s="185" t="s">
        <v>971</v>
      </c>
      <c r="H12" s="185" t="s">
        <v>1004</v>
      </c>
      <c r="I12" s="185"/>
      <c r="J12" s="440"/>
      <c r="K12" s="440"/>
      <c r="L12" s="440"/>
      <c r="M12" s="25"/>
      <c r="N12" s="25"/>
      <c r="O12" s="25"/>
      <c r="P12" s="25"/>
      <c r="Q12" s="25"/>
      <c r="R12" s="25"/>
      <c r="S12" s="25"/>
      <c r="T12" s="25"/>
    </row>
    <row r="13" spans="1:20" ht="13.5" thickBot="1" x14ac:dyDescent="0.25">
      <c r="A13" s="25"/>
      <c r="B13" s="25"/>
      <c r="C13" s="25"/>
      <c r="D13" s="25"/>
      <c r="E13" s="25"/>
      <c r="F13" s="25"/>
      <c r="G13" s="25"/>
      <c r="H13" s="25"/>
      <c r="I13" s="25"/>
      <c r="J13" s="25"/>
      <c r="K13" s="25"/>
      <c r="L13" s="25"/>
      <c r="M13" s="25"/>
      <c r="N13" s="25"/>
      <c r="O13" s="25"/>
      <c r="P13" s="25"/>
      <c r="Q13" s="25"/>
      <c r="R13" s="25"/>
      <c r="S13" s="25"/>
      <c r="T13" s="25"/>
    </row>
    <row r="14" spans="1:20" s="259" customFormat="1" ht="28.5" thickTop="1" x14ac:dyDescent="0.35">
      <c r="B14" s="260" t="s">
        <v>2107</v>
      </c>
      <c r="D14" s="261" t="s">
        <v>724</v>
      </c>
      <c r="E14" s="261" t="s">
        <v>725</v>
      </c>
      <c r="F14" s="261" t="s">
        <v>726</v>
      </c>
      <c r="G14" s="261" t="s">
        <v>727</v>
      </c>
      <c r="H14" s="261" t="s">
        <v>728</v>
      </c>
      <c r="I14" s="261" t="s">
        <v>729</v>
      </c>
      <c r="J14" s="261" t="s">
        <v>730</v>
      </c>
      <c r="K14" s="261" t="s">
        <v>731</v>
      </c>
      <c r="L14" s="261" t="s">
        <v>732</v>
      </c>
      <c r="M14" s="261" t="s">
        <v>733</v>
      </c>
      <c r="N14" s="261" t="s">
        <v>734</v>
      </c>
      <c r="O14" s="261" t="s">
        <v>735</v>
      </c>
      <c r="P14" s="261" t="s">
        <v>736</v>
      </c>
      <c r="Q14" s="262" t="s">
        <v>737</v>
      </c>
      <c r="R14" s="263" t="s">
        <v>2107</v>
      </c>
      <c r="S14" s="628"/>
      <c r="T14" s="628"/>
    </row>
    <row r="15" spans="1:20" x14ac:dyDescent="0.2">
      <c r="A15" s="862" t="s">
        <v>738</v>
      </c>
      <c r="B15" s="264" t="s">
        <v>739</v>
      </c>
      <c r="D15" s="265">
        <v>1</v>
      </c>
      <c r="E15" s="266">
        <f>E$16*1000</f>
        <v>1000</v>
      </c>
      <c r="F15" s="266">
        <f>F$17*12*1000</f>
        <v>12000</v>
      </c>
      <c r="G15" s="266">
        <f>G$18*36*1000</f>
        <v>36000</v>
      </c>
      <c r="H15" s="266">
        <f>H$19*5280*12*1000</f>
        <v>63360000</v>
      </c>
      <c r="I15" s="266">
        <f>I$20*1852*100/2.54*1000</f>
        <v>72913385.826771662</v>
      </c>
      <c r="J15" s="266">
        <f>J$21/25.4</f>
        <v>3.937007874015748E-2</v>
      </c>
      <c r="K15" s="266">
        <f>K$22/25.4*1000</f>
        <v>39.370078740157481</v>
      </c>
      <c r="L15" s="266">
        <f>L$23/2.54*1000</f>
        <v>393.70078740157476</v>
      </c>
      <c r="M15" s="266">
        <f>M$24/25.4*1000*1000</f>
        <v>39370.078740157478</v>
      </c>
      <c r="N15" s="266">
        <f>N$25/25.4*1000*1000*1000</f>
        <v>39370078.740157478</v>
      </c>
      <c r="O15" s="266">
        <f>O$26*660*12*1000</f>
        <v>7920000</v>
      </c>
      <c r="P15" s="266">
        <f>P$27*16.5*12*1000</f>
        <v>198000</v>
      </c>
      <c r="Q15" s="267">
        <f>Q$28*299792458*(365*24*60*60+5*60*60+48*60+46)*1000*1000/25.4</f>
        <v>3.7246174852220899E+20</v>
      </c>
      <c r="R15" s="268" t="s">
        <v>739</v>
      </c>
      <c r="S15" s="25"/>
      <c r="T15" s="25"/>
    </row>
    <row r="16" spans="1:20" x14ac:dyDescent="0.2">
      <c r="A16" s="862"/>
      <c r="B16" s="264" t="s">
        <v>2026</v>
      </c>
      <c r="D16" s="269">
        <f>D$15/1000</f>
        <v>1E-3</v>
      </c>
      <c r="E16" s="270">
        <v>1</v>
      </c>
      <c r="F16" s="266">
        <f>F$17*12</f>
        <v>12</v>
      </c>
      <c r="G16" s="266">
        <f>G$18*36</f>
        <v>36</v>
      </c>
      <c r="H16" s="266">
        <f>H$19*5280*12</f>
        <v>63360</v>
      </c>
      <c r="I16" s="266">
        <f>I$20*1852*100/2.54</f>
        <v>72913.385826771657</v>
      </c>
      <c r="J16" s="266">
        <f>J$21/25.4/1000</f>
        <v>3.9370078740157478E-5</v>
      </c>
      <c r="K16" s="266">
        <f>K$22/25.4</f>
        <v>3.937007874015748E-2</v>
      </c>
      <c r="L16" s="266">
        <f>L$23/2.54</f>
        <v>0.39370078740157477</v>
      </c>
      <c r="M16" s="266">
        <f>M$24/25.4*1000</f>
        <v>39.370078740157481</v>
      </c>
      <c r="N16" s="266">
        <f>N$25/25.4*1000*1000</f>
        <v>39370.078740157478</v>
      </c>
      <c r="O16" s="266">
        <f>O$26*660*12</f>
        <v>7920</v>
      </c>
      <c r="P16" s="266">
        <f>P$27*16.5*12</f>
        <v>198</v>
      </c>
      <c r="Q16" s="267">
        <f>Q$28*299792458*(365*24*60*60+5*60*60+48*60+46)*1000/25.4</f>
        <v>3.7246174852220896E+17</v>
      </c>
      <c r="R16" s="268" t="s">
        <v>2026</v>
      </c>
      <c r="S16" s="25"/>
      <c r="T16" s="25"/>
    </row>
    <row r="17" spans="1:20" x14ac:dyDescent="0.2">
      <c r="A17" s="862"/>
      <c r="B17" s="9" t="s">
        <v>2057</v>
      </c>
      <c r="D17" s="271">
        <f>D$15/1000/12</f>
        <v>8.3333333333333331E-5</v>
      </c>
      <c r="E17" s="272">
        <f>E$16/12</f>
        <v>8.3333333333333329E-2</v>
      </c>
      <c r="F17" s="270">
        <v>1</v>
      </c>
      <c r="G17" s="272">
        <f>G$18*3</f>
        <v>3</v>
      </c>
      <c r="H17" s="272">
        <f>H$19*5280</f>
        <v>5280</v>
      </c>
      <c r="I17" s="272">
        <f>I$20*1852*100/2.54/12</f>
        <v>6076.1154855643044</v>
      </c>
      <c r="J17" s="272">
        <f>J$21/25.4/1000/12</f>
        <v>3.2808398950131231E-6</v>
      </c>
      <c r="K17" s="272">
        <f>K$22/25.4/12</f>
        <v>3.2808398950131233E-3</v>
      </c>
      <c r="L17" s="272">
        <f>L$23/2.54/12</f>
        <v>3.2808398950131233E-2</v>
      </c>
      <c r="M17" s="272">
        <f>M$24/25.4*1000/12</f>
        <v>3.2808398950131235</v>
      </c>
      <c r="N17" s="272">
        <f>N$25/25.4*1000*1000/12</f>
        <v>3280.8398950131232</v>
      </c>
      <c r="O17" s="272">
        <f>O$26*660</f>
        <v>660</v>
      </c>
      <c r="P17" s="272">
        <f>P$27*16.5</f>
        <v>16.5</v>
      </c>
      <c r="Q17" s="273">
        <f>Q$28*299792458*(365*24*60*60+5*60*60+48*60+46)*1000/25.4/12</f>
        <v>3.1038479043517412E+16</v>
      </c>
      <c r="R17" s="274" t="s">
        <v>2057</v>
      </c>
      <c r="S17" s="25"/>
      <c r="T17" s="25"/>
    </row>
    <row r="18" spans="1:20" x14ac:dyDescent="0.2">
      <c r="A18" s="862"/>
      <c r="B18" s="9" t="s">
        <v>740</v>
      </c>
      <c r="D18" s="271">
        <f>D$15/1000/12/3</f>
        <v>2.7777777777777776E-5</v>
      </c>
      <c r="E18" s="272">
        <f>E$16/36</f>
        <v>2.7777777777777776E-2</v>
      </c>
      <c r="F18" s="272">
        <f>F$17/3</f>
        <v>0.33333333333333331</v>
      </c>
      <c r="G18" s="270">
        <v>1</v>
      </c>
      <c r="H18" s="272">
        <f>H$19*1760</f>
        <v>1760</v>
      </c>
      <c r="I18" s="272">
        <f>I$20*1852*100/2.54/36</f>
        <v>2025.371828521435</v>
      </c>
      <c r="J18" s="272">
        <f>J$21/25.4/1000/36</f>
        <v>1.0936132983377078E-6</v>
      </c>
      <c r="K18" s="272">
        <f>K$22/25.4/36</f>
        <v>1.0936132983377078E-3</v>
      </c>
      <c r="L18" s="272">
        <f>L$23/2.54/36</f>
        <v>1.0936132983377077E-2</v>
      </c>
      <c r="M18" s="272">
        <f>M$24/25.4*1000/36</f>
        <v>1.0936132983377078</v>
      </c>
      <c r="N18" s="272">
        <f>N$25/25.4*1000*1000/36</f>
        <v>1093.6132983377076</v>
      </c>
      <c r="O18" s="272">
        <f>O$26*220</f>
        <v>220</v>
      </c>
      <c r="P18" s="272">
        <f>P$27*16.5/3</f>
        <v>5.5</v>
      </c>
      <c r="Q18" s="273">
        <f>Q$28*299792458*(365*24*60*60+5*60*60+48*60+46)*1000/25.4/36</f>
        <v>1.0346159681172472E+16</v>
      </c>
      <c r="R18" s="274" t="s">
        <v>740</v>
      </c>
      <c r="S18" s="25"/>
      <c r="T18" s="25"/>
    </row>
    <row r="19" spans="1:20" x14ac:dyDescent="0.2">
      <c r="A19" s="862"/>
      <c r="B19" s="264" t="s">
        <v>741</v>
      </c>
      <c r="D19" s="269">
        <f>D$15/1000/12/5280</f>
        <v>1.5782828282828283E-8</v>
      </c>
      <c r="E19" s="266">
        <f>E$16/12/5280</f>
        <v>1.5782828282828283E-5</v>
      </c>
      <c r="F19" s="266">
        <f>F$17/5280</f>
        <v>1.8939393939393939E-4</v>
      </c>
      <c r="G19" s="266">
        <f>G$18/1760</f>
        <v>5.6818181818181815E-4</v>
      </c>
      <c r="H19" s="270">
        <v>1</v>
      </c>
      <c r="I19" s="266">
        <f>I$20*1852*100/2.54/12/5280</f>
        <v>1.1507794480235425</v>
      </c>
      <c r="J19" s="266">
        <f>J$21/25.4/1000/12/5280</f>
        <v>6.2137119223733395E-10</v>
      </c>
      <c r="K19" s="266">
        <f>K$22/25.4/12/5280</f>
        <v>6.2137119223733397E-7</v>
      </c>
      <c r="L19" s="266">
        <f>L$23/2.54/12/5280</f>
        <v>6.2137119223733393E-6</v>
      </c>
      <c r="M19" s="266">
        <f>M$24/25.4*1000/12/5280</f>
        <v>6.2137119223733403E-4</v>
      </c>
      <c r="N19" s="266">
        <f>N$25/25.4*1000*1000/12/5280</f>
        <v>0.62137119223733395</v>
      </c>
      <c r="O19" s="266">
        <f>O$26/8</f>
        <v>0.125</v>
      </c>
      <c r="P19" s="266">
        <f>P$27*16.5/5280</f>
        <v>3.1250000000000002E-3</v>
      </c>
      <c r="Q19" s="267">
        <f>Q$28*299792458*(365*24*60*60+5*60*60+48*60+46)*1000/25.4/12/5280</f>
        <v>5878499818847.9951</v>
      </c>
      <c r="R19" s="268" t="s">
        <v>741</v>
      </c>
      <c r="S19" s="25"/>
      <c r="T19" s="25"/>
    </row>
    <row r="20" spans="1:20" s="80" customFormat="1" ht="13.5" thickBot="1" x14ac:dyDescent="0.25">
      <c r="A20" s="858"/>
      <c r="B20" s="276" t="s">
        <v>742</v>
      </c>
      <c r="C20" s="277"/>
      <c r="D20" s="278">
        <f>D$15/1000*2.54/100/1852</f>
        <v>1.3714902807775378E-8</v>
      </c>
      <c r="E20" s="279">
        <f>E$16*2.54/100/1852</f>
        <v>1.3714902807775378E-5</v>
      </c>
      <c r="F20" s="279">
        <f>F$17*12*2.54/100/1852</f>
        <v>1.6457883369330455E-4</v>
      </c>
      <c r="G20" s="279">
        <f>G$18*36*2.54/100/1852</f>
        <v>4.9373650107991361E-4</v>
      </c>
      <c r="H20" s="279">
        <f>H$19*5280*12*2.54/100/1852</f>
        <v>0.86897624190064793</v>
      </c>
      <c r="I20" s="280">
        <v>1</v>
      </c>
      <c r="J20" s="279">
        <f>J$21/1852/1000/1000</f>
        <v>5.3995680345572359E-10</v>
      </c>
      <c r="K20" s="279">
        <f>K$22/1852/1000</f>
        <v>5.3995680345572355E-7</v>
      </c>
      <c r="L20" s="279">
        <f>L$23/1852/100</f>
        <v>5.3995680345572357E-6</v>
      </c>
      <c r="M20" s="279">
        <f>M$24/1852</f>
        <v>5.3995680345572358E-4</v>
      </c>
      <c r="N20" s="279">
        <f>N$25/1852*1000</f>
        <v>0.53995680345572361</v>
      </c>
      <c r="O20" s="279">
        <f>O$26*660*12*2.54/100/1852</f>
        <v>0.10862203023758099</v>
      </c>
      <c r="P20" s="279">
        <f>P$27*16.5*12*2.54/100/1852</f>
        <v>2.7155507559395251E-3</v>
      </c>
      <c r="Q20" s="281">
        <f>Q$28*299792458*(365*24*60*60+5*60*60+48*60+46)/1852</f>
        <v>5108276680596.1709</v>
      </c>
      <c r="R20" s="282" t="s">
        <v>742</v>
      </c>
      <c r="S20" s="70"/>
      <c r="T20" s="70"/>
    </row>
    <row r="21" spans="1:20" s="80" customFormat="1" x14ac:dyDescent="0.2">
      <c r="A21" s="856" t="s">
        <v>743</v>
      </c>
      <c r="B21" s="12" t="s">
        <v>744</v>
      </c>
      <c r="D21" s="271">
        <f>D$15*25.4</f>
        <v>25.4</v>
      </c>
      <c r="E21" s="272">
        <f>E$16*25.4*1000</f>
        <v>25400</v>
      </c>
      <c r="F21" s="272">
        <f>F$17*12*1000*25.4</f>
        <v>304800</v>
      </c>
      <c r="G21" s="272">
        <f>G$18*36*1000*25.4</f>
        <v>914400</v>
      </c>
      <c r="H21" s="272">
        <f>H$19*5280*12*1000*25.4</f>
        <v>1609344000</v>
      </c>
      <c r="I21" s="272">
        <f>I$20*1852*1000*1000</f>
        <v>1852000000</v>
      </c>
      <c r="J21" s="270">
        <v>1</v>
      </c>
      <c r="K21" s="272">
        <f>K$22*1000</f>
        <v>1000</v>
      </c>
      <c r="L21" s="272">
        <f>L$23*10*1000</f>
        <v>10000</v>
      </c>
      <c r="M21" s="272">
        <f>M$24*1000*1000</f>
        <v>1000000</v>
      </c>
      <c r="N21" s="272">
        <f>N$25*1000*1000*1000</f>
        <v>1000000000</v>
      </c>
      <c r="O21" s="272">
        <f>O$26*660*12*1000*25.4</f>
        <v>201168000</v>
      </c>
      <c r="P21" s="272">
        <f>P$27*16.5*12*1000*25.4</f>
        <v>5029200</v>
      </c>
      <c r="Q21" s="273">
        <f>Q$28*299792458*(365*24*60*60+5*60*60+48*60+46)*1000*1000</f>
        <v>9.4605284124641083E+21</v>
      </c>
      <c r="R21" s="274" t="s">
        <v>744</v>
      </c>
      <c r="S21" s="70"/>
      <c r="T21" s="70"/>
    </row>
    <row r="22" spans="1:20" x14ac:dyDescent="0.2">
      <c r="A22" s="862"/>
      <c r="B22" s="9" t="s">
        <v>745</v>
      </c>
      <c r="D22" s="271">
        <f>D$15*25.4/1000</f>
        <v>2.5399999999999999E-2</v>
      </c>
      <c r="E22" s="272">
        <f>E$16*25.4</f>
        <v>25.4</v>
      </c>
      <c r="F22" s="272">
        <f>F$17*12*25.4</f>
        <v>304.79999999999995</v>
      </c>
      <c r="G22" s="272">
        <f>G$18*36*25.4</f>
        <v>914.4</v>
      </c>
      <c r="H22" s="272">
        <f>H$19*5280*12*25.4</f>
        <v>1609344</v>
      </c>
      <c r="I22" s="272">
        <f>I$20*1852*1000</f>
        <v>1852000</v>
      </c>
      <c r="J22" s="272">
        <f>J$21/1000</f>
        <v>1E-3</v>
      </c>
      <c r="K22" s="270">
        <v>1</v>
      </c>
      <c r="L22" s="272">
        <f>L$23*10</f>
        <v>10</v>
      </c>
      <c r="M22" s="272">
        <f>M$24*1000</f>
        <v>1000</v>
      </c>
      <c r="N22" s="272">
        <f>N$25*1000*1000</f>
        <v>1000000</v>
      </c>
      <c r="O22" s="272">
        <f>O$26*660*12*25.4</f>
        <v>201168</v>
      </c>
      <c r="P22" s="272">
        <f>P$27*16.5*12*25.4</f>
        <v>5029.2</v>
      </c>
      <c r="Q22" s="273">
        <f>Q$28*299792458*(365*24*60*60+5*60*60+48*60+46)*1000</f>
        <v>9.4605284124641075E+18</v>
      </c>
      <c r="R22" s="274" t="s">
        <v>745</v>
      </c>
      <c r="S22" s="25"/>
      <c r="T22" s="25"/>
    </row>
    <row r="23" spans="1:20" x14ac:dyDescent="0.2">
      <c r="A23" s="862"/>
      <c r="B23" s="264" t="s">
        <v>746</v>
      </c>
      <c r="D23" s="269">
        <f>D$15*25.4/1000/10</f>
        <v>2.5399999999999997E-3</v>
      </c>
      <c r="E23" s="266">
        <f>E$16*25.4/10</f>
        <v>2.54</v>
      </c>
      <c r="F23" s="266">
        <f>F$17*12*2.54</f>
        <v>30.48</v>
      </c>
      <c r="G23" s="266">
        <f>G$18*36*2.54</f>
        <v>91.44</v>
      </c>
      <c r="H23" s="266">
        <f>H$19*5280*12*2.54</f>
        <v>160934.39999999999</v>
      </c>
      <c r="I23" s="266">
        <f>I$20*1852*100</f>
        <v>185200</v>
      </c>
      <c r="J23" s="266">
        <f>J$21/1000/10</f>
        <v>1E-4</v>
      </c>
      <c r="K23" s="266">
        <f>K$22/10</f>
        <v>0.1</v>
      </c>
      <c r="L23" s="270">
        <v>1</v>
      </c>
      <c r="M23" s="266">
        <f>M$24*100</f>
        <v>100</v>
      </c>
      <c r="N23" s="266">
        <f>N$25*1000*100</f>
        <v>100000</v>
      </c>
      <c r="O23" s="266">
        <f>O$26*660*12*2.54</f>
        <v>20116.8</v>
      </c>
      <c r="P23" s="266">
        <f>P$27*16.5*12*2.54</f>
        <v>502.92</v>
      </c>
      <c r="Q23" s="267">
        <f>Q$28*299792458*(365*24*60*60+5*60*60+48*60+46)*100</f>
        <v>9.4605284124641075E+17</v>
      </c>
      <c r="R23" s="268" t="s">
        <v>746</v>
      </c>
      <c r="S23" s="25"/>
      <c r="T23" s="25"/>
    </row>
    <row r="24" spans="1:20" x14ac:dyDescent="0.2">
      <c r="A24" s="862"/>
      <c r="B24" s="264" t="s">
        <v>747</v>
      </c>
      <c r="D24" s="269">
        <f>D$15*25.4/1000/1000</f>
        <v>2.5399999999999997E-5</v>
      </c>
      <c r="E24" s="266">
        <f>E$16*25.4/1000</f>
        <v>2.5399999999999999E-2</v>
      </c>
      <c r="F24" s="266">
        <f>F$17*12*25.4/1000</f>
        <v>0.30479999999999996</v>
      </c>
      <c r="G24" s="266">
        <f>G$18*36*25.4/1000</f>
        <v>0.91439999999999999</v>
      </c>
      <c r="H24" s="266">
        <f>H$19*5280*12*25.4/1000</f>
        <v>1609.3440000000001</v>
      </c>
      <c r="I24" s="266">
        <f>I$20*1852</f>
        <v>1852</v>
      </c>
      <c r="J24" s="266">
        <f>J$21/1000/1000</f>
        <v>9.9999999999999995E-7</v>
      </c>
      <c r="K24" s="266">
        <f>K$22/1000</f>
        <v>1E-3</v>
      </c>
      <c r="L24" s="266">
        <f>L$23/100</f>
        <v>0.01</v>
      </c>
      <c r="M24" s="270">
        <v>1</v>
      </c>
      <c r="N24" s="266">
        <f>N$25*1000</f>
        <v>1000</v>
      </c>
      <c r="O24" s="266">
        <f>O$26*660*12*25.4/1000</f>
        <v>201.16800000000001</v>
      </c>
      <c r="P24" s="266">
        <f>P$27*16.5*12*25.4/1000</f>
        <v>5.0291999999999994</v>
      </c>
      <c r="Q24" s="267">
        <f>Q$28*299792458*(365*24*60*60+5*60*60+48*60+46)</f>
        <v>9460528412464108</v>
      </c>
      <c r="R24" s="268" t="s">
        <v>747</v>
      </c>
      <c r="S24" s="25"/>
      <c r="T24" s="25"/>
    </row>
    <row r="25" spans="1:20" s="80" customFormat="1" ht="13.5" thickBot="1" x14ac:dyDescent="0.25">
      <c r="A25" s="858"/>
      <c r="B25" s="284" t="s">
        <v>748</v>
      </c>
      <c r="C25" s="277"/>
      <c r="D25" s="285">
        <f>D$15*25.4/1000/1000/1000</f>
        <v>2.5399999999999996E-8</v>
      </c>
      <c r="E25" s="286">
        <f>E$16*25.4/1000/1000</f>
        <v>2.5399999999999997E-5</v>
      </c>
      <c r="F25" s="286">
        <f>F$17*12*25.4/1000/1000</f>
        <v>3.0479999999999998E-4</v>
      </c>
      <c r="G25" s="286">
        <f>G$18*36*25.4/1000/1000</f>
        <v>9.144E-4</v>
      </c>
      <c r="H25" s="286">
        <f>H$19*5280*12*25.4/1000/1000</f>
        <v>1.6093440000000001</v>
      </c>
      <c r="I25" s="286">
        <f>I$20*1852/1000</f>
        <v>1.8520000000000001</v>
      </c>
      <c r="J25" s="286">
        <f>J$21/1000/1000/1000</f>
        <v>9.9999999999999986E-10</v>
      </c>
      <c r="K25" s="286">
        <f>K$22/1000/1000</f>
        <v>9.9999999999999995E-7</v>
      </c>
      <c r="L25" s="286">
        <f>L$23/100/1000</f>
        <v>1.0000000000000001E-5</v>
      </c>
      <c r="M25" s="286">
        <f>M$24/1000</f>
        <v>1E-3</v>
      </c>
      <c r="N25" s="280">
        <v>1</v>
      </c>
      <c r="O25" s="286">
        <f>O$26*660*12*25.4/1000/1000</f>
        <v>0.20116800000000001</v>
      </c>
      <c r="P25" s="286">
        <f>P$27*16.5*12*25.4/1000/1000</f>
        <v>5.0291999999999993E-3</v>
      </c>
      <c r="Q25" s="287">
        <f>Q$28*299792458*(365*24*60*60+5*60*60+48*60+46)/1000</f>
        <v>9460528412464.1074</v>
      </c>
      <c r="R25" s="288" t="s">
        <v>748</v>
      </c>
      <c r="S25" s="70"/>
      <c r="T25" s="70"/>
    </row>
    <row r="26" spans="1:20" x14ac:dyDescent="0.2">
      <c r="B26" s="9" t="s">
        <v>749</v>
      </c>
      <c r="D26" s="271">
        <f>D$15/1000/12/660</f>
        <v>1.2626262626262626E-7</v>
      </c>
      <c r="E26" s="272">
        <f>E$16/12/660</f>
        <v>1.2626262626262626E-4</v>
      </c>
      <c r="F26" s="272">
        <f>F$17/660</f>
        <v>1.5151515151515152E-3</v>
      </c>
      <c r="G26" s="272">
        <f>G$18/220</f>
        <v>4.5454545454545452E-3</v>
      </c>
      <c r="H26" s="272">
        <f>H$19*8</f>
        <v>8</v>
      </c>
      <c r="I26" s="272">
        <f>I$20*1852*100/2.54/12/660</f>
        <v>9.2062355841883399</v>
      </c>
      <c r="J26" s="272">
        <f>J$21/25.4/1000/12/660</f>
        <v>4.9709695378986716E-9</v>
      </c>
      <c r="K26" s="272">
        <f>K$22/25.4/12/660</f>
        <v>4.9709695378986717E-6</v>
      </c>
      <c r="L26" s="272">
        <f>L$23/2.54/12/660</f>
        <v>4.9709695378986714E-5</v>
      </c>
      <c r="M26" s="272">
        <f>M$24/25.4*1000/12/660</f>
        <v>4.9709695378986722E-3</v>
      </c>
      <c r="N26" s="272">
        <f>N$25/25.4*1000*1000/12/660</f>
        <v>4.9709695378986716</v>
      </c>
      <c r="O26" s="270">
        <v>1</v>
      </c>
      <c r="P26" s="272">
        <f>P$27/40</f>
        <v>2.5000000000000001E-2</v>
      </c>
      <c r="Q26" s="273">
        <f>Q$28*299792458*(365*24*60*60+5*60*60+48*60+46)*1000/25.4/12/5280*8</f>
        <v>47027998550783.961</v>
      </c>
      <c r="R26" s="274" t="s">
        <v>749</v>
      </c>
      <c r="S26" s="25"/>
      <c r="T26" s="25"/>
    </row>
    <row r="27" spans="1:20" x14ac:dyDescent="0.2">
      <c r="B27" s="264" t="s">
        <v>750</v>
      </c>
      <c r="D27" s="269">
        <f>D$15/1000/12/16.5</f>
        <v>5.0505050505050507E-6</v>
      </c>
      <c r="E27" s="266">
        <f>E$16/12/16.5</f>
        <v>5.0505050505050501E-3</v>
      </c>
      <c r="F27" s="266">
        <f>F$17/16.5</f>
        <v>6.0606060606060608E-2</v>
      </c>
      <c r="G27" s="266">
        <f>G$18*3/16.5</f>
        <v>0.18181818181818182</v>
      </c>
      <c r="H27" s="266">
        <f>H$19*5280/16.5</f>
        <v>320</v>
      </c>
      <c r="I27" s="266">
        <f>I$20*1852*100/2.54/12/16.5</f>
        <v>368.24942336753361</v>
      </c>
      <c r="J27" s="266">
        <f>J$21/25.4/1000/12/16.5</f>
        <v>1.9883878151594685E-7</v>
      </c>
      <c r="K27" s="266">
        <f>K$22/25.4/12/16.5</f>
        <v>1.9883878151594686E-4</v>
      </c>
      <c r="L27" s="266">
        <f>L17/16.5</f>
        <v>1.9883878151594689E-3</v>
      </c>
      <c r="M27" s="266">
        <f>M$24/25.4*1000/12/16.5</f>
        <v>0.19883878151594689</v>
      </c>
      <c r="N27" s="266">
        <f>N$25/25.4*1000*1000/12/16.5</f>
        <v>198.83878151594686</v>
      </c>
      <c r="O27" s="266">
        <f>O$26*40</f>
        <v>40</v>
      </c>
      <c r="P27" s="270">
        <v>1</v>
      </c>
      <c r="Q27" s="273">
        <f>Q$28*299792458*(365*24*60*60+5*60*60+48*60+46)*1000/25.4/12/16.5</f>
        <v>1881119942031358.2</v>
      </c>
      <c r="R27" s="268" t="s">
        <v>750</v>
      </c>
      <c r="S27" s="25"/>
      <c r="T27" s="25"/>
    </row>
    <row r="28" spans="1:20" s="80" customFormat="1" ht="13.5" thickBot="1" x14ac:dyDescent="0.25">
      <c r="A28" s="277"/>
      <c r="B28" s="276" t="s">
        <v>751</v>
      </c>
      <c r="C28" s="277"/>
      <c r="D28" s="278">
        <f>D$15*25.4/1000/1000/299792458/(365*24*60*60+5*60*60+48*60+46)</f>
        <v>2.6848394606093956E-21</v>
      </c>
      <c r="E28" s="278">
        <f>E$16*25.4/1000/299792458/(365*24*60*60+5*60*60+48*60+46)</f>
        <v>2.6848394606093956E-18</v>
      </c>
      <c r="F28" s="279">
        <f>F$17*12*25.4/1000/299792458/(365*24*60*60+5*60*60+48*60+46)</f>
        <v>3.2218073527312743E-17</v>
      </c>
      <c r="G28" s="279">
        <f>G$18*36*25.4/1000/299792458/(365*24*60*60+5*60*60+48*60+46)</f>
        <v>9.6654220581938247E-17</v>
      </c>
      <c r="H28" s="279">
        <f>H$19*5280*12*25.4/1000/299792458/(365*24*60*60+5*60*60+48*60+46)</f>
        <v>1.7011142822421135E-13</v>
      </c>
      <c r="I28" s="279">
        <f>I$20*1852/299792458/(365*24*60*60+5*60*60+48*60+46)</f>
        <v>1.9576073547435437E-13</v>
      </c>
      <c r="J28" s="279">
        <f>J$21/1000/1000/299792458/(365*24*60*60+5*60*60+48*60+46)</f>
        <v>1.0570234096887386E-22</v>
      </c>
      <c r="K28" s="279">
        <f>K$22/1000/299792458/(365*24*60*60+5*60*60+48*60+46)</f>
        <v>1.0570234096887386E-19</v>
      </c>
      <c r="L28" s="279">
        <f>L$23/100/299792458/(365*24*60*60+5*60*60+48*60+46)</f>
        <v>1.0570234096887387E-18</v>
      </c>
      <c r="M28" s="279">
        <f>M$24/299792458/(365*24*60*60+5*60*60+48*60+46)</f>
        <v>1.0570234096887386E-16</v>
      </c>
      <c r="N28" s="279">
        <f>N$25*1000/299792458/(365*24*60*60+5*60*60+48*60+46)</f>
        <v>1.0570234096887385E-13</v>
      </c>
      <c r="O28" s="279">
        <f>O$26*660*12*25.4/1000/299792458/(365*24*60*60+5*60*60+48*60+46)</f>
        <v>2.1263928528026419E-14</v>
      </c>
      <c r="P28" s="279">
        <f>P$27*16.5*12*25.4/1000/299792458/(365*24*60*60+5*60*60+48*60+46)</f>
        <v>5.3159821320066027E-16</v>
      </c>
      <c r="Q28" s="289">
        <v>1</v>
      </c>
      <c r="R28" s="282" t="s">
        <v>751</v>
      </c>
      <c r="S28" s="70"/>
      <c r="T28" s="70"/>
    </row>
    <row r="29" spans="1:20" x14ac:dyDescent="0.2">
      <c r="D29" s="290" t="s">
        <v>752</v>
      </c>
      <c r="E29" s="9"/>
    </row>
    <row r="30" spans="1:20" x14ac:dyDescent="0.2">
      <c r="D30" t="s">
        <v>753</v>
      </c>
      <c r="E30" s="9"/>
    </row>
    <row r="31" spans="1:20" ht="13.5" thickBot="1" x14ac:dyDescent="0.25">
      <c r="D31" s="290"/>
      <c r="E31" s="290"/>
      <c r="J31" s="9"/>
    </row>
    <row r="32" spans="1:20" s="259" customFormat="1" ht="29.25" thickTop="1" thickBot="1" x14ac:dyDescent="0.4">
      <c r="A32" s="291"/>
      <c r="B32" s="292" t="s">
        <v>754</v>
      </c>
      <c r="C32" s="291"/>
      <c r="D32" s="293" t="s">
        <v>755</v>
      </c>
      <c r="E32" s="293" t="s">
        <v>756</v>
      </c>
      <c r="F32" s="293" t="s">
        <v>757</v>
      </c>
      <c r="G32" s="293" t="s">
        <v>758</v>
      </c>
      <c r="H32" s="293" t="s">
        <v>759</v>
      </c>
      <c r="I32" s="293" t="s">
        <v>760</v>
      </c>
      <c r="J32" s="293" t="s">
        <v>761</v>
      </c>
      <c r="K32" s="293" t="s">
        <v>762</v>
      </c>
      <c r="L32" s="293" t="s">
        <v>763</v>
      </c>
      <c r="M32" s="293" t="s">
        <v>764</v>
      </c>
      <c r="N32" s="293" t="s">
        <v>765</v>
      </c>
      <c r="O32" s="294" t="s">
        <v>766</v>
      </c>
      <c r="P32" s="295" t="s">
        <v>754</v>
      </c>
      <c r="R32" s="296"/>
    </row>
    <row r="33" spans="1:36" x14ac:dyDescent="0.2">
      <c r="A33" s="862" t="s">
        <v>738</v>
      </c>
      <c r="B33" s="264" t="s">
        <v>767</v>
      </c>
      <c r="D33" s="270">
        <v>1</v>
      </c>
      <c r="E33" s="266">
        <f>E$34*1000000</f>
        <v>1000000</v>
      </c>
      <c r="F33" s="266">
        <f>F$35*(12*1000)^2</f>
        <v>144000000</v>
      </c>
      <c r="G33" s="266">
        <f>G$36*(3*12*1000)^2</f>
        <v>1296000000</v>
      </c>
      <c r="H33" s="266">
        <f>H$37*(5280*12*1000)^2</f>
        <v>4014489600000000</v>
      </c>
      <c r="I33" s="266">
        <f>I$38/(0.999998)^2*43560*(12*1000)^2</f>
        <v>6272665090635.2705</v>
      </c>
      <c r="J33" s="266">
        <f>J$39/(25.4)^2</f>
        <v>1.5500031000062E-3</v>
      </c>
      <c r="K33" s="266">
        <f>K$40*(1000/25.4)^2</f>
        <v>1550.0031000062002</v>
      </c>
      <c r="L33" s="266">
        <f>L$41*(1000/2.54)^2</f>
        <v>155000.31000062</v>
      </c>
      <c r="M33" s="266">
        <f>M$42*(1000*1000/25.4)^2</f>
        <v>1550003100.0062003</v>
      </c>
      <c r="N33" s="266">
        <f>N$43*(1000*1000*1000/25.4)^2</f>
        <v>1550003100006200.5</v>
      </c>
      <c r="O33" s="267">
        <f>O$44*10000*(1000*1000/25.4)^2</f>
        <v>15500031000062.004</v>
      </c>
      <c r="P33" s="297" t="s">
        <v>767</v>
      </c>
    </row>
    <row r="34" spans="1:36" x14ac:dyDescent="0.2">
      <c r="A34" s="862"/>
      <c r="B34" s="264" t="s">
        <v>768</v>
      </c>
      <c r="D34" s="266">
        <f>D$33/1000000</f>
        <v>9.9999999999999995E-7</v>
      </c>
      <c r="E34" s="270">
        <v>1</v>
      </c>
      <c r="F34" s="266">
        <f>F$35*(12)^2</f>
        <v>144</v>
      </c>
      <c r="G34" s="266">
        <f>G$36*(3*12)^2</f>
        <v>1296</v>
      </c>
      <c r="H34" s="266">
        <f>H$37*(5280*12)^2</f>
        <v>4014489600</v>
      </c>
      <c r="I34" s="266">
        <f>I$38/(0.999998)^2*43560*(12)^2</f>
        <v>6272665.0906352708</v>
      </c>
      <c r="J34" s="266">
        <f>J$39/(25.4*1000)^2</f>
        <v>1.5500031000062001E-9</v>
      </c>
      <c r="K34" s="266">
        <f>K$40/(25.4)^2</f>
        <v>1.5500031000062E-3</v>
      </c>
      <c r="L34" s="266">
        <f>L$41/(2.54)^2</f>
        <v>0.15500031000062001</v>
      </c>
      <c r="M34" s="266">
        <f>M$42*(1000/25.4)^2</f>
        <v>1550.0031000062002</v>
      </c>
      <c r="N34" s="266">
        <f>N$43*(1000*1000/25.4)^2</f>
        <v>1550003100.0062003</v>
      </c>
      <c r="O34" s="267">
        <f>O$44*10000*(1000/25.4)^2</f>
        <v>15500031.000062002</v>
      </c>
      <c r="P34" s="297" t="s">
        <v>769</v>
      </c>
    </row>
    <row r="35" spans="1:36" x14ac:dyDescent="0.2">
      <c r="A35" s="862"/>
      <c r="B35" t="s">
        <v>770</v>
      </c>
      <c r="D35" s="272">
        <f>D$33/(1000*12)^2</f>
        <v>6.9444444444444443E-9</v>
      </c>
      <c r="E35" s="272">
        <f>E$34/144</f>
        <v>6.9444444444444441E-3</v>
      </c>
      <c r="F35" s="270">
        <v>1</v>
      </c>
      <c r="G35" s="272">
        <f>G$36*(3)^2</f>
        <v>9</v>
      </c>
      <c r="H35" s="272">
        <f>H$37*(5280)^2</f>
        <v>27878400</v>
      </c>
      <c r="I35" s="272">
        <f>I$38/(0.999998)^2*43560</f>
        <v>43560.174240522712</v>
      </c>
      <c r="J35" s="272">
        <f>J$39/(25.4*1000*12)^2</f>
        <v>1.0763910416709723E-11</v>
      </c>
      <c r="K35" s="272">
        <f>K$40/(25.4*12)^2</f>
        <v>1.0763910416709725E-5</v>
      </c>
      <c r="L35" s="272">
        <f>L$41/(2.54*12)^2</f>
        <v>1.0763910416709723E-3</v>
      </c>
      <c r="M35" s="272">
        <f>M$42*(1000/25.4/12)^2</f>
        <v>10.763910416709724</v>
      </c>
      <c r="N35" s="272">
        <f>N$43*(1000*1000/25.4/12)^2</f>
        <v>10763910.416709725</v>
      </c>
      <c r="O35" s="5">
        <f>O$44*10000*(1000/25.4/12)^2</f>
        <v>107639.10416709723</v>
      </c>
      <c r="P35" s="298" t="s">
        <v>770</v>
      </c>
    </row>
    <row r="36" spans="1:36" x14ac:dyDescent="0.2">
      <c r="A36" s="862"/>
      <c r="B36" t="s">
        <v>771</v>
      </c>
      <c r="D36" s="272">
        <f>D$33/(1000*12*3)^2</f>
        <v>7.7160493827160496E-10</v>
      </c>
      <c r="E36" s="272">
        <f>E$34/(12*3)^2</f>
        <v>7.716049382716049E-4</v>
      </c>
      <c r="F36" s="272">
        <f>F$35/(3)^2</f>
        <v>0.1111111111111111</v>
      </c>
      <c r="G36" s="270">
        <v>1</v>
      </c>
      <c r="H36" s="272">
        <f>H$37*(1760)^2</f>
        <v>3097600</v>
      </c>
      <c r="I36" s="272">
        <f>I$38/(0.999998)^2/640*(1760)^2</f>
        <v>4840.0193600580797</v>
      </c>
      <c r="J36" s="272">
        <f>J$39/(25.4*1000*36)^2</f>
        <v>1.1959900463010802E-12</v>
      </c>
      <c r="K36" s="272">
        <f>K$40/(25.4*36)^2</f>
        <v>1.1959900463010804E-6</v>
      </c>
      <c r="L36" s="272">
        <f>L$41/(2.54*36)^2</f>
        <v>1.1959900463010801E-4</v>
      </c>
      <c r="M36" s="272">
        <f>M$42*(1000/25.4/36)^2</f>
        <v>1.1959900463010804</v>
      </c>
      <c r="N36" s="272">
        <f>N$43*(1000*1000/25.4/36)^2</f>
        <v>1195990.0463010804</v>
      </c>
      <c r="O36" s="5">
        <f>O$44*10000*(1000/25.4/36)^2</f>
        <v>11959.900463010805</v>
      </c>
      <c r="P36" s="298" t="s">
        <v>771</v>
      </c>
    </row>
    <row r="37" spans="1:36" x14ac:dyDescent="0.2">
      <c r="A37" s="862"/>
      <c r="B37" s="264" t="s">
        <v>772</v>
      </c>
      <c r="D37" s="266">
        <f>D$33/(1000*12*5280)^2</f>
        <v>2.4909766860524434E-16</v>
      </c>
      <c r="E37" s="266">
        <f>E$34/(12*5280)^2</f>
        <v>2.4909766860524435E-10</v>
      </c>
      <c r="F37" s="266">
        <f>F$35/(5280)^2</f>
        <v>3.5870064279155189E-8</v>
      </c>
      <c r="G37" s="266">
        <f>G$36/(1760)^2</f>
        <v>3.2283057851239672E-7</v>
      </c>
      <c r="H37" s="270">
        <v>1</v>
      </c>
      <c r="I37" s="266">
        <f>I$38/(0.999998)^2/640</f>
        <v>1.5625062500187498E-3</v>
      </c>
      <c r="J37" s="266">
        <f>J$39/(25.4*1000*12*5280)^2</f>
        <v>3.8610215854244584E-19</v>
      </c>
      <c r="K37" s="266">
        <f>K$40/(25.4*12*5280)^2</f>
        <v>3.8610215854244597E-13</v>
      </c>
      <c r="L37" s="266">
        <f>L$41/(2.54*12*5280)^2</f>
        <v>3.861021585424459E-11</v>
      </c>
      <c r="M37" s="266">
        <f>M$42*(1000/25.4/12/5280)^2</f>
        <v>3.8610215854244592E-7</v>
      </c>
      <c r="N37" s="266">
        <f>N$43*(1000*1000/25.4/12/5280)^2</f>
        <v>0.38610215854244595</v>
      </c>
      <c r="O37" s="267">
        <f>O$44*10000*(1000/25.4/12/5280)^2</f>
        <v>3.8610215854244594E-3</v>
      </c>
      <c r="P37" s="297" t="s">
        <v>772</v>
      </c>
    </row>
    <row r="38" spans="1:36" s="80" customFormat="1" ht="13.5" thickBot="1" x14ac:dyDescent="0.25">
      <c r="A38" s="858"/>
      <c r="B38" s="276" t="s">
        <v>773</v>
      </c>
      <c r="C38" s="277"/>
      <c r="D38" s="279">
        <f>D$33/(1000*12*5280)^2*640*(0.999998)^2</f>
        <v>1.5942187021796244E-13</v>
      </c>
      <c r="E38" s="279">
        <f>E$34/(12*5280)^2*640*(0.999998)^2</f>
        <v>1.5942187021796245E-7</v>
      </c>
      <c r="F38" s="279">
        <f>F$35/43560*(0.999998)^2</f>
        <v>2.2956749311386595E-5</v>
      </c>
      <c r="G38" s="279">
        <f>G$36/(1760)^2*640*(0.999998)^2</f>
        <v>2.0661074380247938E-4</v>
      </c>
      <c r="H38" s="279">
        <f>H$37*640*(0.999998)^2</f>
        <v>639.9974400025601</v>
      </c>
      <c r="I38" s="280">
        <v>1</v>
      </c>
      <c r="J38" s="279">
        <f>J$39/(25.4*1000*12)^2/43560*(0.999998)^2</f>
        <v>2.4710439304662791E-16</v>
      </c>
      <c r="K38" s="279">
        <f>K$40/(25.4*12)^2/43560*(0.999998)^2</f>
        <v>2.4710439304662797E-10</v>
      </c>
      <c r="L38" s="279">
        <f>L$41/(2.54*12)^2/43560*(0.999998)^2</f>
        <v>2.4710439304662794E-8</v>
      </c>
      <c r="M38" s="279">
        <f>M$42*(1000/25.4/12)^2/43560*(0.999998)^2</f>
        <v>2.4710439304662796E-4</v>
      </c>
      <c r="N38" s="279">
        <f>N$43*(1000*1000/25.4/12)^2/43560*(0.999998)^2</f>
        <v>247.10439304662796</v>
      </c>
      <c r="O38" s="281">
        <f>O$44*10000*(1000/25.4/12)^2/43560*(0.999998)^2</f>
        <v>2.4710439304662795</v>
      </c>
      <c r="P38" s="299" t="s">
        <v>773</v>
      </c>
    </row>
    <row r="39" spans="1:36" x14ac:dyDescent="0.2">
      <c r="A39" s="856" t="s">
        <v>743</v>
      </c>
      <c r="B39" t="s">
        <v>774</v>
      </c>
      <c r="D39" s="272">
        <f>D$33*(25.4)^2</f>
        <v>645.16</v>
      </c>
      <c r="E39" s="272">
        <f>E$34*(25.4)^2*1000000</f>
        <v>645160000</v>
      </c>
      <c r="F39" s="272">
        <f>F$35*(12*25.4*1000)^2</f>
        <v>92903039999.999969</v>
      </c>
      <c r="G39" s="272">
        <f>G$36*(25.4*3*12*1000)^2</f>
        <v>836127359999.99976</v>
      </c>
      <c r="H39" s="272">
        <f>H$37*(25.4*5280*12*1000)^2</f>
        <v>2.589988110336E+18</v>
      </c>
      <c r="I39" s="272">
        <f>I$38/(0.999998)^2*43560*(25.4*12*1000)^2</f>
        <v>4046872609874250</v>
      </c>
      <c r="J39" s="270">
        <v>1</v>
      </c>
      <c r="K39" s="272">
        <f>K$40*(1000)^2</f>
        <v>1000000</v>
      </c>
      <c r="L39" s="272">
        <f>L$41*(10*1000)^2</f>
        <v>100000000</v>
      </c>
      <c r="M39" s="272">
        <f>M$42*(1000*1000)^2</f>
        <v>1000000000000</v>
      </c>
      <c r="N39" s="272">
        <f>N$43*(1000*1000*1000)^2</f>
        <v>1E+18</v>
      </c>
      <c r="O39" s="5">
        <f>O$44*10000*(1000*1000)^2</f>
        <v>1E+16</v>
      </c>
      <c r="P39" s="298" t="s">
        <v>774</v>
      </c>
      <c r="U39" s="80"/>
      <c r="V39" s="80"/>
      <c r="W39" s="80"/>
      <c r="X39" s="80"/>
      <c r="Y39" s="80"/>
      <c r="Z39" s="80"/>
      <c r="AA39" s="80"/>
      <c r="AB39" s="80"/>
      <c r="AC39" s="80"/>
      <c r="AD39" s="80"/>
      <c r="AE39" s="80"/>
      <c r="AF39" s="80"/>
      <c r="AG39" s="80"/>
      <c r="AH39" s="80"/>
      <c r="AI39" s="80"/>
      <c r="AJ39" s="80"/>
    </row>
    <row r="40" spans="1:36" x14ac:dyDescent="0.2">
      <c r="A40" s="857"/>
      <c r="B40" t="s">
        <v>775</v>
      </c>
      <c r="D40" s="272">
        <f>D$33*(25.4/1000)^2</f>
        <v>6.4515999999999998E-4</v>
      </c>
      <c r="E40" s="272">
        <f>E$34*(25.4)^2</f>
        <v>645.16</v>
      </c>
      <c r="F40" s="272">
        <f>F$35*(12*25.4)^2</f>
        <v>92903.039999999979</v>
      </c>
      <c r="G40" s="272">
        <f>G$36*(25.4*3*12)^2</f>
        <v>836127.35999999975</v>
      </c>
      <c r="H40" s="272">
        <f>H$37*(25.4*5280*12)^2</f>
        <v>2589988110336</v>
      </c>
      <c r="I40" s="272">
        <f>I$38/(0.999998)^2*43560*(25.4*12)^2</f>
        <v>4046872609.8742504</v>
      </c>
      <c r="J40" s="272">
        <f>J$39/(1000)^2</f>
        <v>9.9999999999999995E-7</v>
      </c>
      <c r="K40" s="270">
        <v>1</v>
      </c>
      <c r="L40" s="272">
        <f>L$41*(10)^2</f>
        <v>100</v>
      </c>
      <c r="M40" s="272">
        <f>M$42*(1000)^2</f>
        <v>1000000</v>
      </c>
      <c r="N40" s="272">
        <f>N$43*(1000*1000)^2</f>
        <v>1000000000000</v>
      </c>
      <c r="O40" s="5">
        <f>O$44*10000*(1000)^2</f>
        <v>10000000000</v>
      </c>
      <c r="P40" s="298" t="s">
        <v>775</v>
      </c>
    </row>
    <row r="41" spans="1:36" x14ac:dyDescent="0.2">
      <c r="A41" s="857"/>
      <c r="B41" s="264" t="s">
        <v>776</v>
      </c>
      <c r="D41" s="266">
        <f>D$33*(25.4/10000)^2</f>
        <v>6.4515999999999985E-6</v>
      </c>
      <c r="E41" s="266">
        <f>E$34*(25.4)^2/100</f>
        <v>6.4516</v>
      </c>
      <c r="F41" s="266">
        <f>F$35*(12*25.4/10)^2</f>
        <v>929.03039999999976</v>
      </c>
      <c r="G41" s="266">
        <f>G$36*(25.4*3*12/10)^2</f>
        <v>8361.2735999999968</v>
      </c>
      <c r="H41" s="266">
        <f>H$37*(25.4*5280*12/10)^2</f>
        <v>25899881103.359997</v>
      </c>
      <c r="I41" s="266">
        <f>I$38/(0.999998)^2*43560*(25.4*12/10)^2</f>
        <v>40468726.0987425</v>
      </c>
      <c r="J41" s="266">
        <f>J$39/(1000*10)^2</f>
        <v>1E-8</v>
      </c>
      <c r="K41" s="266">
        <f>K$40/(10)^2</f>
        <v>0.01</v>
      </c>
      <c r="L41" s="270">
        <v>1</v>
      </c>
      <c r="M41" s="266">
        <f>M$42*(100)^2</f>
        <v>10000</v>
      </c>
      <c r="N41" s="266">
        <f>N$43*(1000*100)^2</f>
        <v>10000000000</v>
      </c>
      <c r="O41" s="267">
        <f>O$44*10000*(100)^2</f>
        <v>100000000</v>
      </c>
      <c r="P41" s="297" t="s">
        <v>776</v>
      </c>
    </row>
    <row r="42" spans="1:36" x14ac:dyDescent="0.2">
      <c r="A42" s="857"/>
      <c r="B42" s="264" t="s">
        <v>777</v>
      </c>
      <c r="D42" s="266">
        <f>D$33*(25.4/1000/1000)^2</f>
        <v>6.4515999999999987E-10</v>
      </c>
      <c r="E42" s="266">
        <f>E$34*(25.4)^2/1000000</f>
        <v>6.4515999999999998E-4</v>
      </c>
      <c r="F42" s="266">
        <f>F$35*(12*25.4/1000)^2</f>
        <v>9.2903039999999978E-2</v>
      </c>
      <c r="G42" s="266">
        <f>G$36*(25.4*3*12/1000)^2</f>
        <v>0.83612735999999976</v>
      </c>
      <c r="H42" s="266">
        <f>H$37*(25.4*5280*12/1000)^2</f>
        <v>2589988.1103360001</v>
      </c>
      <c r="I42" s="266">
        <f>I$38/(0.999998)^2*43560*(25.4*12/1000)^2</f>
        <v>4046.8726098742504</v>
      </c>
      <c r="J42" s="266">
        <f>J$39/(1000*1000)^2</f>
        <v>9.9999999999999998E-13</v>
      </c>
      <c r="K42" s="266">
        <f>K$40/(1000)^2</f>
        <v>9.9999999999999995E-7</v>
      </c>
      <c r="L42" s="266">
        <f>L$41/(100)^2</f>
        <v>1E-4</v>
      </c>
      <c r="M42" s="270">
        <v>1</v>
      </c>
      <c r="N42" s="266">
        <f>N$43*(1000)^2</f>
        <v>1000000</v>
      </c>
      <c r="O42" s="267">
        <f>O$44*10000</f>
        <v>10000</v>
      </c>
      <c r="P42" s="297" t="s">
        <v>777</v>
      </c>
    </row>
    <row r="43" spans="1:36" x14ac:dyDescent="0.2">
      <c r="A43" s="857"/>
      <c r="B43" t="s">
        <v>778</v>
      </c>
      <c r="D43" s="272">
        <f>D$33*(25.4/1000/1000/1000)^2</f>
        <v>6.4515999999999982E-16</v>
      </c>
      <c r="E43" s="272">
        <f>E$34*(25.4)^2/1000000^2</f>
        <v>6.4515999999999997E-10</v>
      </c>
      <c r="F43" s="272">
        <f>F$35*(12*25.4/1000/1000)^2</f>
        <v>9.2903039999999994E-8</v>
      </c>
      <c r="G43" s="272">
        <f>G$36*(25.4*3*12/1000/1000)^2</f>
        <v>8.3612735999999975E-7</v>
      </c>
      <c r="H43" s="272">
        <f>H$37*(25.4*5280*12/1000/1000)^2</f>
        <v>2.5899881103360003</v>
      </c>
      <c r="I43" s="272">
        <f>I$38/(0.999998)^2*43560*(25.4*12/1000/1000)^2</f>
        <v>4.0468726098742509E-3</v>
      </c>
      <c r="J43" s="272">
        <f>J$39/(1000*1000*1000)^2</f>
        <v>1.0000000000000001E-18</v>
      </c>
      <c r="K43" s="272">
        <f>K$40/(1000*1000)^2</f>
        <v>9.9999999999999998E-13</v>
      </c>
      <c r="L43" s="272">
        <f>L$41/(100*1000)^2</f>
        <v>1E-10</v>
      </c>
      <c r="M43" s="272">
        <f>M$42/(1000)^2</f>
        <v>9.9999999999999995E-7</v>
      </c>
      <c r="N43" s="270">
        <v>1</v>
      </c>
      <c r="O43" s="5">
        <f>O$44/100</f>
        <v>0.01</v>
      </c>
      <c r="P43" s="298" t="s">
        <v>778</v>
      </c>
      <c r="U43" s="80"/>
      <c r="V43" s="80"/>
      <c r="W43" s="80"/>
      <c r="X43" s="80"/>
      <c r="Y43" s="80"/>
      <c r="Z43" s="80"/>
      <c r="AA43" s="80"/>
      <c r="AB43" s="80"/>
      <c r="AC43" s="80"/>
      <c r="AD43" s="80"/>
      <c r="AE43" s="80"/>
      <c r="AF43" s="80"/>
      <c r="AG43" s="80"/>
      <c r="AH43" s="80"/>
      <c r="AI43" s="80"/>
      <c r="AJ43" s="80"/>
    </row>
    <row r="44" spans="1:36" s="80" customFormat="1" ht="13.5" thickBot="1" x14ac:dyDescent="0.25">
      <c r="A44" s="858"/>
      <c r="B44" s="277" t="s">
        <v>779</v>
      </c>
      <c r="C44" s="277"/>
      <c r="D44" s="286">
        <f>D$33*(25.4/1000/1000)^2/10000</f>
        <v>6.4515999999999987E-14</v>
      </c>
      <c r="E44" s="286">
        <f>E$34*(25.4)^2/1000000/10000</f>
        <v>6.4515999999999994E-8</v>
      </c>
      <c r="F44" s="286">
        <f>F$35*(12*25.4/1000)^2/10000</f>
        <v>9.2903039999999974E-6</v>
      </c>
      <c r="G44" s="286">
        <f>G$36*(25.4*3*12/1000)^2/10000</f>
        <v>8.3612735999999971E-5</v>
      </c>
      <c r="H44" s="286">
        <f>H$37*(25.4*5280*12/1000)^2/10000</f>
        <v>258.99881103360002</v>
      </c>
      <c r="I44" s="286">
        <f>I$38/(0.999998)^2*43560*(25.4*12/1000)^2/10000</f>
        <v>0.40468726098742502</v>
      </c>
      <c r="J44" s="286">
        <f>J$39/(1000*1000)^2/10000</f>
        <v>9.9999999999999998E-17</v>
      </c>
      <c r="K44" s="286">
        <f>K$40/(1000)^2/10000</f>
        <v>9.9999999999999991E-11</v>
      </c>
      <c r="L44" s="286">
        <f>L$41/(100)^2/10000</f>
        <v>1E-8</v>
      </c>
      <c r="M44" s="286">
        <f>M$42/10000</f>
        <v>1E-4</v>
      </c>
      <c r="N44" s="286">
        <f>N$43*100</f>
        <v>100</v>
      </c>
      <c r="O44" s="289">
        <v>1</v>
      </c>
      <c r="P44" s="301" t="s">
        <v>779</v>
      </c>
      <c r="U44"/>
      <c r="V44"/>
      <c r="W44"/>
      <c r="X44"/>
      <c r="Y44"/>
      <c r="Z44"/>
      <c r="AA44"/>
      <c r="AB44"/>
      <c r="AC44"/>
      <c r="AD44"/>
      <c r="AE44"/>
      <c r="AF44"/>
      <c r="AG44"/>
      <c r="AH44"/>
      <c r="AI44"/>
      <c r="AJ44"/>
    </row>
    <row r="45" spans="1:36" x14ac:dyDescent="0.2">
      <c r="D45" t="s">
        <v>780</v>
      </c>
    </row>
    <row r="46" spans="1:36" x14ac:dyDescent="0.2">
      <c r="D46" t="s">
        <v>781</v>
      </c>
      <c r="U46" s="80"/>
      <c r="V46" s="80"/>
    </row>
    <row r="47" spans="1:36" x14ac:dyDescent="0.2">
      <c r="D47" t="s">
        <v>782</v>
      </c>
    </row>
    <row r="48" spans="1:36" x14ac:dyDescent="0.2">
      <c r="D48" t="s">
        <v>783</v>
      </c>
    </row>
    <row r="49" spans="1:40" ht="13.5" thickBot="1" x14ac:dyDescent="0.25"/>
    <row r="50" spans="1:40" s="259" customFormat="1" ht="28.5" thickTop="1" x14ac:dyDescent="0.35">
      <c r="B50" s="260" t="s">
        <v>784</v>
      </c>
      <c r="D50" s="261" t="s">
        <v>785</v>
      </c>
      <c r="E50" s="261" t="s">
        <v>786</v>
      </c>
      <c r="F50" s="261" t="s">
        <v>787</v>
      </c>
      <c r="G50" s="261" t="s">
        <v>788</v>
      </c>
      <c r="H50" s="261" t="s">
        <v>789</v>
      </c>
      <c r="I50" s="261" t="s">
        <v>790</v>
      </c>
      <c r="J50" s="261" t="s">
        <v>791</v>
      </c>
      <c r="K50" s="261" t="s">
        <v>792</v>
      </c>
      <c r="L50" s="261" t="s">
        <v>793</v>
      </c>
      <c r="M50" s="261" t="s">
        <v>794</v>
      </c>
      <c r="N50" s="261" t="s">
        <v>795</v>
      </c>
      <c r="O50" s="261" t="s">
        <v>796</v>
      </c>
      <c r="P50" s="261" t="s">
        <v>797</v>
      </c>
      <c r="Q50" s="261" t="s">
        <v>798</v>
      </c>
      <c r="R50" s="261" t="s">
        <v>799</v>
      </c>
      <c r="S50" s="261" t="s">
        <v>800</v>
      </c>
      <c r="T50" s="262" t="s">
        <v>801</v>
      </c>
      <c r="U50" s="263" t="s">
        <v>784</v>
      </c>
    </row>
    <row r="51" spans="1:40" x14ac:dyDescent="0.2">
      <c r="A51" s="857" t="s">
        <v>738</v>
      </c>
      <c r="B51" s="264" t="s">
        <v>802</v>
      </c>
      <c r="D51" s="270">
        <v>1</v>
      </c>
      <c r="E51" s="266">
        <f>E$52*(12)^3</f>
        <v>1728</v>
      </c>
      <c r="F51" s="266">
        <f>F$53*(36)^3</f>
        <v>46656</v>
      </c>
      <c r="G51" s="266">
        <f>G$54/6/128*231</f>
        <v>0.30078125</v>
      </c>
      <c r="H51" s="266">
        <f>H$55/2/128*231</f>
        <v>0.90234375</v>
      </c>
      <c r="I51" s="266">
        <f>I$56/128*231</f>
        <v>1.8046875</v>
      </c>
      <c r="J51" s="266">
        <f>J$57/16*231</f>
        <v>14.4375</v>
      </c>
      <c r="K51" s="266">
        <f>K$58/8*231</f>
        <v>28.875</v>
      </c>
      <c r="L51" s="266">
        <f>L$59/4*231</f>
        <v>57.75</v>
      </c>
      <c r="M51" s="302">
        <f>M$60*231</f>
        <v>231</v>
      </c>
      <c r="N51" s="266">
        <f>N$61*42*231</f>
        <v>9702</v>
      </c>
      <c r="O51" s="266">
        <f>O$62/(0.999998)^3*43560*(12)^3</f>
        <v>75272131.631886512</v>
      </c>
      <c r="P51" s="266">
        <f>P$63/(25.4)^3</f>
        <v>6.102374409473229E-5</v>
      </c>
      <c r="Q51" s="302">
        <f>Q$64*1000/(25.4)^3</f>
        <v>6.1023744094732289E-2</v>
      </c>
      <c r="R51" s="266">
        <f>R$65*(1000/25.4)^3</f>
        <v>61023.74409473229</v>
      </c>
      <c r="S51" s="266">
        <f>S$66*(10/25.4)^3</f>
        <v>6.1023744094732289E-2</v>
      </c>
      <c r="T51" s="303">
        <f>T$67*1000*(10/25.4)^3</f>
        <v>61.023744094732287</v>
      </c>
      <c r="U51" s="297" t="s">
        <v>2098</v>
      </c>
      <c r="V51" s="5"/>
    </row>
    <row r="52" spans="1:40" x14ac:dyDescent="0.2">
      <c r="A52" s="857"/>
      <c r="B52" s="264" t="s">
        <v>803</v>
      </c>
      <c r="D52" s="266">
        <f>D$51*(1/12)^3</f>
        <v>5.7870370370370367E-4</v>
      </c>
      <c r="E52" s="270">
        <v>1</v>
      </c>
      <c r="F52" s="266">
        <f>F$53*(3)^3</f>
        <v>27</v>
      </c>
      <c r="G52" s="266">
        <f>G$54/6/128*231/(12)^3</f>
        <v>1.7406322337962962E-4</v>
      </c>
      <c r="H52" s="266">
        <f>H$55/2/128*231/(12)^3</f>
        <v>5.2218967013888888E-4</v>
      </c>
      <c r="I52" s="266">
        <f>I$56/128*231/(12)^3</f>
        <v>1.0443793402777778E-3</v>
      </c>
      <c r="J52" s="266">
        <f>J$57/16*231/(12)^3</f>
        <v>8.355034722222222E-3</v>
      </c>
      <c r="K52" s="266">
        <f>K$58/8*231/(12)^3</f>
        <v>1.6710069444444444E-2</v>
      </c>
      <c r="L52" s="266">
        <f>L$59/4*231/(12)^3</f>
        <v>3.3420138888888888E-2</v>
      </c>
      <c r="M52" s="266">
        <f>M$60*231/(12)^3</f>
        <v>0.13368055555555555</v>
      </c>
      <c r="N52" s="266">
        <f>N$61*42*231/(12)^3</f>
        <v>5.614583333333333</v>
      </c>
      <c r="O52" s="266">
        <f>O$62/(0.999998)^3*43560</f>
        <v>43560.261361045435</v>
      </c>
      <c r="P52" s="266">
        <f>P$63/(25.4*12)^3</f>
        <v>3.5314666721488604E-8</v>
      </c>
      <c r="Q52" s="266">
        <f>Q$64*1000/(25.4*12)^3</f>
        <v>3.5314666721488607E-5</v>
      </c>
      <c r="R52" s="266">
        <f>R$65*(1000/25.4/12)^3</f>
        <v>35.314666721488592</v>
      </c>
      <c r="S52" s="266">
        <f>S$66*(10/25.4/12)^3</f>
        <v>3.5314666721488586E-5</v>
      </c>
      <c r="T52" s="267">
        <f>T$67*1000*(10/25.4/12)^3</f>
        <v>3.5314666721488586E-2</v>
      </c>
      <c r="U52" s="297" t="s">
        <v>803</v>
      </c>
      <c r="V52" s="5"/>
    </row>
    <row r="53" spans="1:40" s="304" customFormat="1" ht="13.5" thickBot="1" x14ac:dyDescent="0.25">
      <c r="A53" s="858"/>
      <c r="B53" s="277" t="s">
        <v>804</v>
      </c>
      <c r="C53" s="277"/>
      <c r="D53" s="286">
        <f>D$51*(1/36)^3</f>
        <v>2.143347050754458E-5</v>
      </c>
      <c r="E53" s="286">
        <f>E$52/(3)^3</f>
        <v>3.7037037037037035E-2</v>
      </c>
      <c r="F53" s="280">
        <v>1</v>
      </c>
      <c r="G53" s="286">
        <f>G$54/6/128*231/(36)^3</f>
        <v>6.4467860510973937E-6</v>
      </c>
      <c r="H53" s="286">
        <f>H$55/2/128*231/(36)^3</f>
        <v>1.9340358153292181E-5</v>
      </c>
      <c r="I53" s="286">
        <f>I$56/128*231/(36)^3</f>
        <v>3.8680716306584362E-5</v>
      </c>
      <c r="J53" s="286">
        <f>J$57/16*231/(36)^3</f>
        <v>3.094457304526749E-4</v>
      </c>
      <c r="K53" s="286">
        <f>K$58/8*231/(36)^3</f>
        <v>6.188914609053498E-4</v>
      </c>
      <c r="L53" s="286">
        <f>L$59/4*231/(36)^3</f>
        <v>1.2377829218106996E-3</v>
      </c>
      <c r="M53" s="286">
        <f>M$60*231/(36)^3</f>
        <v>4.9511316872427984E-3</v>
      </c>
      <c r="N53" s="286">
        <f>N$61*42*231/(36)^3</f>
        <v>0.20794753086419754</v>
      </c>
      <c r="O53" s="286">
        <f>O$62/(0.999998)^3*43560/(3)^3</f>
        <v>1613.3430133720531</v>
      </c>
      <c r="P53" s="286">
        <f>P$63/(25.4*36)^3</f>
        <v>1.3079506193143923E-9</v>
      </c>
      <c r="Q53" s="286">
        <f>Q$64*1000/(25.4*36)^3</f>
        <v>1.3079506193143923E-6</v>
      </c>
      <c r="R53" s="286">
        <f>R$65*(1000/25.4/36)^3</f>
        <v>1.3079506193143924</v>
      </c>
      <c r="S53" s="286">
        <f>S$66*(10/25.4/36)^3</f>
        <v>1.3079506193143925E-6</v>
      </c>
      <c r="T53" s="287">
        <f>T$67*1000*(10/25.4/36)^3</f>
        <v>1.3079506193143925E-3</v>
      </c>
      <c r="U53" s="301" t="s">
        <v>804</v>
      </c>
      <c r="V53" s="5"/>
      <c r="W53"/>
      <c r="X53"/>
      <c r="Y53"/>
      <c r="Z53"/>
      <c r="AA53"/>
      <c r="AB53"/>
      <c r="AC53"/>
      <c r="AD53"/>
      <c r="AE53"/>
      <c r="AF53"/>
      <c r="AG53"/>
      <c r="AH53"/>
      <c r="AI53"/>
      <c r="AJ53"/>
      <c r="AK53"/>
      <c r="AL53"/>
      <c r="AM53"/>
      <c r="AN53"/>
    </row>
    <row r="54" spans="1:40" x14ac:dyDescent="0.2">
      <c r="A54" s="857" t="s">
        <v>805</v>
      </c>
      <c r="B54" t="s">
        <v>806</v>
      </c>
      <c r="D54" s="272">
        <f>D$51/231*128*6</f>
        <v>3.3246753246753249</v>
      </c>
      <c r="E54" s="272">
        <f>E$52*(12)^3/231*128*6</f>
        <v>5745.0389610389611</v>
      </c>
      <c r="F54" s="272">
        <f>F$53*(36)^3/231*128*6</f>
        <v>155116.05194805196</v>
      </c>
      <c r="G54" s="270">
        <v>1</v>
      </c>
      <c r="H54" s="272">
        <f>H$55*3</f>
        <v>3</v>
      </c>
      <c r="I54" s="272">
        <f>I$56*6</f>
        <v>6</v>
      </c>
      <c r="J54" s="272">
        <f>J$57*8*6</f>
        <v>48</v>
      </c>
      <c r="K54" s="272">
        <f>K$58*16*6</f>
        <v>96</v>
      </c>
      <c r="L54" s="272">
        <f>L$59*32*6</f>
        <v>192</v>
      </c>
      <c r="M54" s="272">
        <f>M$60*128*6</f>
        <v>768</v>
      </c>
      <c r="N54" s="272">
        <f>N$61*42*128*6</f>
        <v>32256</v>
      </c>
      <c r="O54" s="272">
        <f>O$62/(0.999998)^3*43560*(12)^3/231*128*6</f>
        <v>250255398.67224607</v>
      </c>
      <c r="P54" s="272">
        <f>P$63/(25.4)^3/231*128*6</f>
        <v>2.0288413621105802E-4</v>
      </c>
      <c r="Q54" s="272">
        <f>Q$64*1000/(25.4)^3/231*128*6</f>
        <v>0.202884136211058</v>
      </c>
      <c r="R54" s="272">
        <f>R$65*(1000/25.4)^3/231*128*6</f>
        <v>202884.13621105801</v>
      </c>
      <c r="S54" s="272">
        <f>S$66*(10/25.4)^3/231*128*6</f>
        <v>0.202884136211058</v>
      </c>
      <c r="T54" s="273">
        <f>T$67*1000*(10/25.4)^3/231*128*6</f>
        <v>202.88413621105801</v>
      </c>
      <c r="U54" s="298" t="s">
        <v>807</v>
      </c>
      <c r="V54" s="5"/>
    </row>
    <row r="55" spans="1:40" x14ac:dyDescent="0.2">
      <c r="A55" s="872"/>
      <c r="B55" s="264" t="s">
        <v>808</v>
      </c>
      <c r="D55" s="266">
        <f>D$51/231*128*2</f>
        <v>1.1082251082251082</v>
      </c>
      <c r="E55" s="266">
        <f>E$52*(12)^3/231*128*2</f>
        <v>1915.012987012987</v>
      </c>
      <c r="F55" s="266">
        <f>F$53*(36)^3/231*128*2</f>
        <v>51705.35064935065</v>
      </c>
      <c r="G55" s="266">
        <f>G$54/3</f>
        <v>0.33333333333333331</v>
      </c>
      <c r="H55" s="270">
        <v>1</v>
      </c>
      <c r="I55" s="266">
        <f>I$56*2</f>
        <v>2</v>
      </c>
      <c r="J55" s="266">
        <f>J$57*8*2</f>
        <v>16</v>
      </c>
      <c r="K55" s="266">
        <f>K$58*16*2</f>
        <v>32</v>
      </c>
      <c r="L55" s="266">
        <f>L$59*32*2</f>
        <v>64</v>
      </c>
      <c r="M55" s="266">
        <f>M$60*128*2</f>
        <v>256</v>
      </c>
      <c r="N55" s="266">
        <f>N$61*42*128*2</f>
        <v>10752</v>
      </c>
      <c r="O55" s="266">
        <f>O$62/(0.999998)^3*43560*(12)^3/231*128*2</f>
        <v>83418466.224082023</v>
      </c>
      <c r="P55" s="266">
        <f>P$63/(25.4)^3/231*128*2</f>
        <v>6.7628045403686003E-5</v>
      </c>
      <c r="Q55" s="266">
        <f>Q$64*1000/(25.4)^3/231*128*2</f>
        <v>6.7628045403685999E-2</v>
      </c>
      <c r="R55" s="266">
        <f>R$65*(1000/25.4)^3/231*128*2</f>
        <v>67628.045403686003</v>
      </c>
      <c r="S55" s="266">
        <f>S$66*(10/25.4)^3/231*128*2</f>
        <v>6.7628045403685999E-2</v>
      </c>
      <c r="T55" s="267">
        <f>T$67*1000*(10/25.4)^3/231*128*2</f>
        <v>67.628045403686002</v>
      </c>
      <c r="U55" s="297" t="s">
        <v>809</v>
      </c>
      <c r="V55" s="5"/>
    </row>
    <row r="56" spans="1:40" ht="12.75" customHeight="1" x14ac:dyDescent="0.2">
      <c r="A56" s="872"/>
      <c r="B56" s="264" t="s">
        <v>810</v>
      </c>
      <c r="D56" s="266">
        <f>D$51/231*128</f>
        <v>0.55411255411255411</v>
      </c>
      <c r="E56" s="266">
        <f>E$52*(12)^3/231*128</f>
        <v>957.50649350649348</v>
      </c>
      <c r="F56" s="266">
        <f>F$53*(36)^3/231*128</f>
        <v>25852.675324675325</v>
      </c>
      <c r="G56" s="266">
        <f>G$54/6</f>
        <v>0.16666666666666666</v>
      </c>
      <c r="H56" s="266">
        <f>H$55/2</f>
        <v>0.5</v>
      </c>
      <c r="I56" s="270">
        <v>1</v>
      </c>
      <c r="J56" s="266">
        <f>J$57*8</f>
        <v>8</v>
      </c>
      <c r="K56" s="266">
        <f>K$58*16</f>
        <v>16</v>
      </c>
      <c r="L56" s="266">
        <f>L$59*32</f>
        <v>32</v>
      </c>
      <c r="M56" s="302">
        <f>M$60*128</f>
        <v>128</v>
      </c>
      <c r="N56" s="266">
        <f>N$61*42*128</f>
        <v>5376</v>
      </c>
      <c r="O56" s="266">
        <f>O$62/(0.999998)^3*43560*(12)^3/231*128</f>
        <v>41709233.112041011</v>
      </c>
      <c r="P56" s="266">
        <f>P$63/(25.4)^3/231*128</f>
        <v>3.3814022701843001E-5</v>
      </c>
      <c r="Q56" s="302">
        <f>Q$64*1000/(25.4)^3/231*128</f>
        <v>3.3814022701843E-2</v>
      </c>
      <c r="R56" s="266">
        <f>R$65*(1000/25.4)^3/231*128</f>
        <v>33814.022701843001</v>
      </c>
      <c r="S56" s="266">
        <f>S$66*(10/25.4)^3/231*128</f>
        <v>3.3814022701843E-2</v>
      </c>
      <c r="T56" s="267">
        <f>T$67*1000*(10/25.4)^3/231*128</f>
        <v>33.814022701843001</v>
      </c>
      <c r="U56" s="297" t="s">
        <v>810</v>
      </c>
      <c r="V56" s="5"/>
    </row>
    <row r="57" spans="1:40" x14ac:dyDescent="0.2">
      <c r="A57" s="872"/>
      <c r="B57" t="s">
        <v>811</v>
      </c>
      <c r="D57" s="272">
        <f>D$51/231*16</f>
        <v>6.9264069264069264E-2</v>
      </c>
      <c r="E57" s="272">
        <f>E$52*(12)^3/231*16</f>
        <v>119.68831168831169</v>
      </c>
      <c r="F57" s="272">
        <f>F$53*(36)^3/231*16</f>
        <v>3231.5844155844156</v>
      </c>
      <c r="G57" s="272">
        <f>G$54/6/8</f>
        <v>2.0833333333333332E-2</v>
      </c>
      <c r="H57" s="272">
        <f>H$55/2/8</f>
        <v>6.25E-2</v>
      </c>
      <c r="I57" s="272">
        <f>I$56/8</f>
        <v>0.125</v>
      </c>
      <c r="J57" s="270">
        <v>1</v>
      </c>
      <c r="K57" s="272">
        <f>K$58*2</f>
        <v>2</v>
      </c>
      <c r="L57" s="272">
        <f>L$59*4</f>
        <v>4</v>
      </c>
      <c r="M57" s="305">
        <f>M$60*16</f>
        <v>16</v>
      </c>
      <c r="N57" s="272">
        <f>N$61*42*16</f>
        <v>672</v>
      </c>
      <c r="O57" s="272">
        <f>O$62/(0.999998)^3*43560*(12)^3/231*16</f>
        <v>5213654.1390051264</v>
      </c>
      <c r="P57" s="272">
        <f>P$63/(25.4)^3/231*16</f>
        <v>4.2267528377303752E-6</v>
      </c>
      <c r="Q57" s="272">
        <f>Q$64*1000/(25.4)^3/231*16</f>
        <v>4.2267528377303749E-3</v>
      </c>
      <c r="R57" s="272">
        <f>R$65*(1000/25.4)^3/231*16</f>
        <v>4226.7528377303752</v>
      </c>
      <c r="S57" s="272">
        <f>S$66*(10/25.4)^3/231*16</f>
        <v>4.2267528377303749E-3</v>
      </c>
      <c r="T57" s="273">
        <f>T$67*1000*(10/25.4)^3/231*16</f>
        <v>4.2267528377303751</v>
      </c>
      <c r="U57" s="298" t="s">
        <v>811</v>
      </c>
      <c r="V57" s="5"/>
    </row>
    <row r="58" spans="1:40" x14ac:dyDescent="0.2">
      <c r="A58" s="872"/>
      <c r="B58" t="s">
        <v>812</v>
      </c>
      <c r="D58" s="272">
        <f>D$51/231*8</f>
        <v>3.4632034632034632E-2</v>
      </c>
      <c r="E58" s="272">
        <f>E$52*(12)^3/231*8</f>
        <v>59.844155844155843</v>
      </c>
      <c r="F58" s="272">
        <f>F$53*(36)^3/231*8</f>
        <v>1615.7922077922078</v>
      </c>
      <c r="G58" s="272">
        <f>G$54/6/16</f>
        <v>1.0416666666666666E-2</v>
      </c>
      <c r="H58" s="272">
        <f>H$55/2/16</f>
        <v>3.125E-2</v>
      </c>
      <c r="I58" s="272">
        <f>I$56/16</f>
        <v>6.25E-2</v>
      </c>
      <c r="J58" s="272">
        <f>J$57/2</f>
        <v>0.5</v>
      </c>
      <c r="K58" s="270">
        <v>1</v>
      </c>
      <c r="L58" s="272">
        <f>L$59*2</f>
        <v>2</v>
      </c>
      <c r="M58" s="305">
        <f>M$60*8</f>
        <v>8</v>
      </c>
      <c r="N58" s="272">
        <f>N$61*42*8</f>
        <v>336</v>
      </c>
      <c r="O58" s="272">
        <f>O$62/(0.999998)^3*43560*(12)^3/231*8</f>
        <v>2606827.0695025632</v>
      </c>
      <c r="P58" s="272">
        <f>P$63/(25.4)^3/231*8</f>
        <v>2.1133764188651876E-6</v>
      </c>
      <c r="Q58" s="272">
        <f>Q$64*1000/(25.4)^3/231*8</f>
        <v>2.1133764188651875E-3</v>
      </c>
      <c r="R58" s="272">
        <f>R$65*(1000/25.4)^3/231*8</f>
        <v>2113.3764188651876</v>
      </c>
      <c r="S58" s="272">
        <f>S$66*(10/25.4)^3/231*8</f>
        <v>2.1133764188651875E-3</v>
      </c>
      <c r="T58" s="273">
        <f>T$67*1000*(10/25.4)^3/231*8</f>
        <v>2.1133764188651876</v>
      </c>
      <c r="U58" s="298" t="s">
        <v>813</v>
      </c>
      <c r="V58" s="5"/>
    </row>
    <row r="59" spans="1:40" x14ac:dyDescent="0.2">
      <c r="A59" s="872"/>
      <c r="B59" s="264" t="s">
        <v>814</v>
      </c>
      <c r="D59" s="266">
        <f>D$51/231*4</f>
        <v>1.7316017316017316E-2</v>
      </c>
      <c r="E59" s="266">
        <f>E$52*(12)^3/231*4</f>
        <v>29.922077922077921</v>
      </c>
      <c r="F59" s="266">
        <f>F$53*(36)^3/231*4</f>
        <v>807.89610389610391</v>
      </c>
      <c r="G59" s="266">
        <f>G$54/6/32</f>
        <v>5.208333333333333E-3</v>
      </c>
      <c r="H59" s="266">
        <f>H$55/2/32</f>
        <v>1.5625E-2</v>
      </c>
      <c r="I59" s="266">
        <f>I$56/32</f>
        <v>3.125E-2</v>
      </c>
      <c r="J59" s="266">
        <f>J$57/4</f>
        <v>0.25</v>
      </c>
      <c r="K59" s="266">
        <f>K$58/2</f>
        <v>0.5</v>
      </c>
      <c r="L59" s="270">
        <v>1</v>
      </c>
      <c r="M59" s="302">
        <f>M$60*4</f>
        <v>4</v>
      </c>
      <c r="N59" s="266">
        <f>N$61*42*4</f>
        <v>168</v>
      </c>
      <c r="O59" s="266">
        <f>O$62/(0.999998)^3*43560*(12)^3/231*4</f>
        <v>1303413.5347512816</v>
      </c>
      <c r="P59" s="266">
        <f>P$63/(25.4)^3/231*4</f>
        <v>1.0566882094325938E-6</v>
      </c>
      <c r="Q59" s="266">
        <f>Q$64*1000/(25.4)^3/231*4</f>
        <v>1.0566882094325937E-3</v>
      </c>
      <c r="R59" s="266">
        <f>R$65*(1000/25.4)^3/231*4</f>
        <v>1056.6882094325938</v>
      </c>
      <c r="S59" s="266">
        <f>S$66*(10/25.4)^3/231*4</f>
        <v>1.0566882094325937E-3</v>
      </c>
      <c r="T59" s="303">
        <f>T$67*1000*(10/25.4)^3/231*4</f>
        <v>1.0566882094325938</v>
      </c>
      <c r="U59" s="297" t="s">
        <v>815</v>
      </c>
      <c r="V59" s="5"/>
    </row>
    <row r="60" spans="1:40" x14ac:dyDescent="0.2">
      <c r="A60" s="872"/>
      <c r="B60" s="264" t="s">
        <v>816</v>
      </c>
      <c r="D60" s="266">
        <f>D$51/231</f>
        <v>4.329004329004329E-3</v>
      </c>
      <c r="E60" s="302">
        <f>E$52*(12)^3/231</f>
        <v>7.4805194805194803</v>
      </c>
      <c r="F60" s="266">
        <f>F$53*(36)^3/231</f>
        <v>201.97402597402598</v>
      </c>
      <c r="G60" s="266">
        <f>G$54/6/128</f>
        <v>1.3020833333333333E-3</v>
      </c>
      <c r="H60" s="266">
        <f>H$55/2/128</f>
        <v>3.90625E-3</v>
      </c>
      <c r="I60" s="266">
        <f>I$56/128</f>
        <v>7.8125E-3</v>
      </c>
      <c r="J60" s="266">
        <f>J$57/16</f>
        <v>6.25E-2</v>
      </c>
      <c r="K60" s="266">
        <f>K$58/8</f>
        <v>0.125</v>
      </c>
      <c r="L60" s="266">
        <f>L$59/4</f>
        <v>0.25</v>
      </c>
      <c r="M60" s="270">
        <v>1</v>
      </c>
      <c r="N60" s="302">
        <f>N$61*42</f>
        <v>42</v>
      </c>
      <c r="O60" s="302">
        <f>O$62/(0.999998)^3*43560*(12)^3/231</f>
        <v>325853.3836878204</v>
      </c>
      <c r="P60" s="266">
        <f>P$63/(25.4)^3/231</f>
        <v>2.6417205235814845E-7</v>
      </c>
      <c r="Q60" s="266">
        <f>Q$64*1000/(25.4)^3/231</f>
        <v>2.6417205235814843E-4</v>
      </c>
      <c r="R60" s="266">
        <f>R$65*(1000/25.4)^3/231</f>
        <v>264.17205235814845</v>
      </c>
      <c r="S60" s="266">
        <f>S$66*(10/25.4)^3/231</f>
        <v>2.6417205235814843E-4</v>
      </c>
      <c r="T60" s="303">
        <f>T$67*1000*(10/25.4)^3/231</f>
        <v>0.26417205235814845</v>
      </c>
      <c r="U60" s="297" t="s">
        <v>816</v>
      </c>
      <c r="V60" s="5"/>
    </row>
    <row r="61" spans="1:40" x14ac:dyDescent="0.2">
      <c r="A61" s="872"/>
      <c r="B61" t="s">
        <v>817</v>
      </c>
      <c r="D61" s="272">
        <f>D$51/231/42</f>
        <v>1.0307153164296021E-4</v>
      </c>
      <c r="E61" s="272">
        <f>E$52*(12)^3/231/42</f>
        <v>0.17810760667903525</v>
      </c>
      <c r="F61" s="272">
        <f>F$53*(36)^3/231/42</f>
        <v>4.8089053803339521</v>
      </c>
      <c r="G61" s="272">
        <f>G$54/6/128/42</f>
        <v>3.1001984126984125E-5</v>
      </c>
      <c r="H61" s="272">
        <f>H$55/2/128/42</f>
        <v>9.3005952380952376E-5</v>
      </c>
      <c r="I61" s="272">
        <f>I$56/128/42</f>
        <v>1.8601190476190475E-4</v>
      </c>
      <c r="J61" s="272">
        <f>J$57/16/42</f>
        <v>1.488095238095238E-3</v>
      </c>
      <c r="K61" s="272">
        <f>K$58/8/42</f>
        <v>2.976190476190476E-3</v>
      </c>
      <c r="L61" s="272">
        <f>L$59/4/42</f>
        <v>5.9523809523809521E-3</v>
      </c>
      <c r="M61" s="272">
        <f>M$60/42</f>
        <v>2.3809523809523808E-2</v>
      </c>
      <c r="N61" s="270">
        <v>1</v>
      </c>
      <c r="O61" s="272">
        <f>O$62/(0.999998)^3*43560*(12)^3/231/42</f>
        <v>7758.4138973290574</v>
      </c>
      <c r="P61" s="272">
        <f>P$63/(25.4)^3/231/42</f>
        <v>6.2898107704321061E-9</v>
      </c>
      <c r="Q61" s="272">
        <f>Q$64*1000/(25.4)^3/231/42</f>
        <v>6.2898107704321056E-6</v>
      </c>
      <c r="R61" s="272">
        <f>R$65*(1000/25.4)^3/231/42</f>
        <v>6.2898107704321058</v>
      </c>
      <c r="S61" s="272">
        <f>S$66*(10/25.4)^3/231/42</f>
        <v>6.2898107704321056E-6</v>
      </c>
      <c r="T61" s="273">
        <f>T$67*1000*(10/25.4)^3/231/42</f>
        <v>6.289810770432106E-3</v>
      </c>
      <c r="U61" s="298" t="s">
        <v>817</v>
      </c>
      <c r="V61" s="5"/>
    </row>
    <row r="62" spans="1:40" s="304" customFormat="1" ht="13.5" thickBot="1" x14ac:dyDescent="0.25">
      <c r="A62" s="873"/>
      <c r="B62" s="277" t="s">
        <v>818</v>
      </c>
      <c r="C62" s="277"/>
      <c r="D62" s="286">
        <f>D$51*(1/12)^3/43560*(0.999998)^3</f>
        <v>1.3285129281185171E-8</v>
      </c>
      <c r="E62" s="286">
        <f>E$52/43560*(0.999998)^3</f>
        <v>2.2956703397887975E-5</v>
      </c>
      <c r="F62" s="286">
        <f>F$53*(3)^3/43560*(0.999998)^3</f>
        <v>6.1983099174297543E-4</v>
      </c>
      <c r="G62" s="286">
        <f>G$54/6/128*231/(12)^3/43560*(0.999998)^3</f>
        <v>3.9959177916064768E-9</v>
      </c>
      <c r="H62" s="286">
        <f>H$55/2/128*231/(12)^3/43560*(0.999998)^3</f>
        <v>1.1987753374819433E-8</v>
      </c>
      <c r="I62" s="286">
        <f>I$56/128*231/(12)^3/43560*(0.999998)^3</f>
        <v>2.3975506749638866E-8</v>
      </c>
      <c r="J62" s="286">
        <f>J$57/16*231/(12)^3/43560*(0.999998)^3</f>
        <v>1.9180405399711093E-7</v>
      </c>
      <c r="K62" s="286">
        <f>K$58/8*231/(12)^3/43560*(0.999998)^3</f>
        <v>3.8360810799422186E-7</v>
      </c>
      <c r="L62" s="286">
        <f>L$59/4*231/(12)^3/43560*(0.999998)^3</f>
        <v>7.6721621598844371E-7</v>
      </c>
      <c r="M62" s="286">
        <f>M$60*231/(12)^3/43560*(0.999998)^3</f>
        <v>3.0688648639537749E-6</v>
      </c>
      <c r="N62" s="286">
        <f>N$61*42*231/(12)^3/43560*(0.999998)^3</f>
        <v>1.2889232428605854E-4</v>
      </c>
      <c r="O62" s="280">
        <v>1</v>
      </c>
      <c r="P62" s="286">
        <f>P$63/(25.4*12)^3/43560*(0.999998)^3</f>
        <v>8.1070832952047887E-13</v>
      </c>
      <c r="Q62" s="286">
        <f>Q$64*1000/(25.4*12)^3/43560*(0.999998)^3</f>
        <v>8.1070832952047884E-10</v>
      </c>
      <c r="R62" s="286">
        <f>R$65*(1000/25.4/12)^3/43560*(0.999998)^3</f>
        <v>8.1070832952047866E-4</v>
      </c>
      <c r="S62" s="286">
        <f>S$66*(10/25.4/12)^3/43560*(0.999998)^3</f>
        <v>8.1070832952047843E-10</v>
      </c>
      <c r="T62" s="287">
        <f>T$67*1000*(10/25.4/12)^3/43560*(0.999998)^3</f>
        <v>8.1070832952047841E-7</v>
      </c>
      <c r="U62" s="301" t="s">
        <v>818</v>
      </c>
      <c r="V62" s="5"/>
      <c r="W62"/>
      <c r="X62"/>
      <c r="Y62"/>
      <c r="Z62"/>
      <c r="AA62"/>
      <c r="AB62"/>
      <c r="AC62"/>
      <c r="AD62"/>
      <c r="AE62"/>
      <c r="AF62"/>
      <c r="AG62"/>
      <c r="AH62"/>
      <c r="AI62"/>
      <c r="AJ62"/>
      <c r="AK62"/>
      <c r="AL62"/>
      <c r="AM62"/>
      <c r="AN62"/>
    </row>
    <row r="63" spans="1:40" x14ac:dyDescent="0.2">
      <c r="A63" s="856" t="s">
        <v>743</v>
      </c>
      <c r="B63" s="264" t="s">
        <v>819</v>
      </c>
      <c r="D63" s="266">
        <f>D$51*(25.4)^3</f>
        <v>16387.063999999998</v>
      </c>
      <c r="E63" s="266">
        <f>E$52*(12*25.4)^3</f>
        <v>28316846.591999989</v>
      </c>
      <c r="F63" s="266">
        <f>F$53*(36*25.4)^3</f>
        <v>764554857.98399997</v>
      </c>
      <c r="G63" s="266">
        <f>G$54/6/128*231*(25.4)^3</f>
        <v>4928.9215937499994</v>
      </c>
      <c r="H63" s="266">
        <f>H$55/2/128*231*(25.4)^3</f>
        <v>14786.764781249998</v>
      </c>
      <c r="I63" s="266">
        <f>I$56/128*231*(25.4)^3</f>
        <v>29573.529562499996</v>
      </c>
      <c r="J63" s="266">
        <f>J$57/16*231*(25.4)^3</f>
        <v>236588.23649999997</v>
      </c>
      <c r="K63" s="266">
        <f>K$58/8*231*(25.4)^3</f>
        <v>473176.47299999994</v>
      </c>
      <c r="L63" s="266">
        <f>L$59/4*231*(25.4)^3</f>
        <v>946352.94599999988</v>
      </c>
      <c r="M63" s="266">
        <f>M$60*231*(25.4)^3</f>
        <v>3785411.7839999995</v>
      </c>
      <c r="N63" s="266">
        <f>N$61*42*231*(25.4)^3</f>
        <v>158987294.92799997</v>
      </c>
      <c r="O63" s="266">
        <f>O$62/(0.999998)^3*43560*(12*25.4)^3</f>
        <v>1233489238468.1482</v>
      </c>
      <c r="P63" s="270">
        <v>1</v>
      </c>
      <c r="Q63" s="266">
        <f>Q$64*1000</f>
        <v>1000</v>
      </c>
      <c r="R63" s="266">
        <f>R$65*(1000)^3</f>
        <v>1000000000</v>
      </c>
      <c r="S63" s="266">
        <f>S$66*(10)^3</f>
        <v>1000</v>
      </c>
      <c r="T63" s="267">
        <f>T$67*1000*(10)^3</f>
        <v>1000000</v>
      </c>
      <c r="U63" s="297" t="s">
        <v>819</v>
      </c>
      <c r="V63" s="5"/>
    </row>
    <row r="64" spans="1:40" x14ac:dyDescent="0.2">
      <c r="A64" s="857"/>
      <c r="B64" s="264" t="s">
        <v>820</v>
      </c>
      <c r="D64" s="302">
        <f>D$51*(2.54)^3</f>
        <v>16.387063999999999</v>
      </c>
      <c r="E64" s="266">
        <f>E$52*(12*2.54)^3</f>
        <v>28316.846592000002</v>
      </c>
      <c r="F64" s="266">
        <f>F$53*(36*2.54)^3</f>
        <v>764554.857984</v>
      </c>
      <c r="G64" s="266">
        <f>G$54/6/128*231*(2.54)^3</f>
        <v>4.9289215937499993</v>
      </c>
      <c r="H64" s="266">
        <f>H$55/2/128*231*(2.54)^3</f>
        <v>14.78676478125</v>
      </c>
      <c r="I64" s="266">
        <f>I$56/128*231*(2.54)^3</f>
        <v>29.573529562499999</v>
      </c>
      <c r="J64" s="266">
        <f>J$57/16*231*(2.54)^3</f>
        <v>236.58823649999999</v>
      </c>
      <c r="K64" s="266">
        <f>K$58/8*231*(2.54)^3</f>
        <v>473.17647299999999</v>
      </c>
      <c r="L64" s="266">
        <f>L$59/4*231*(2.54)^3</f>
        <v>946.35294599999997</v>
      </c>
      <c r="M64" s="266">
        <f>M$60*231*(2.54)^3</f>
        <v>3785.4117839999999</v>
      </c>
      <c r="N64" s="266">
        <f>N$61*42*231*(2.54)^3</f>
        <v>158987.29492799999</v>
      </c>
      <c r="O64" s="266">
        <f>O$62/(0.999998)^3*43560*(12*2.54)^3</f>
        <v>1233489238.4681487</v>
      </c>
      <c r="P64" s="266">
        <f>P$63/1000</f>
        <v>1E-3</v>
      </c>
      <c r="Q64" s="270">
        <v>1</v>
      </c>
      <c r="R64" s="266">
        <f>R$65*(100)^3</f>
        <v>1000000</v>
      </c>
      <c r="S64" s="266">
        <f>S$66</f>
        <v>1</v>
      </c>
      <c r="T64" s="267">
        <f>T$67*1000</f>
        <v>1000</v>
      </c>
      <c r="U64" s="297" t="s">
        <v>820</v>
      </c>
      <c r="V64" s="5"/>
    </row>
    <row r="65" spans="1:159" x14ac:dyDescent="0.2">
      <c r="A65" s="857"/>
      <c r="B65" t="s">
        <v>821</v>
      </c>
      <c r="D65" s="272">
        <f>D$51*(25.4/1000)^3</f>
        <v>1.6387063999999999E-5</v>
      </c>
      <c r="E65" s="272">
        <f>E$52*(12*25.4/1000)^3</f>
        <v>2.831684659199999E-2</v>
      </c>
      <c r="F65" s="272">
        <f>F$53*(36*25.4/1000)^3</f>
        <v>0.76455485798400002</v>
      </c>
      <c r="G65" s="272">
        <f>G$54/6/128*231*(25.4/1000)^3</f>
        <v>4.9289215937499996E-6</v>
      </c>
      <c r="H65" s="272">
        <f>H$55/2/128*231*(25.4/1000)^3</f>
        <v>1.4786764781249999E-5</v>
      </c>
      <c r="I65" s="272">
        <f>I$56/128*231*(25.4/1000)^3</f>
        <v>2.9573529562499998E-5</v>
      </c>
      <c r="J65" s="272">
        <f>J$57/16*231*(25.4/1000)^3</f>
        <v>2.3658823649999998E-4</v>
      </c>
      <c r="K65" s="272">
        <f>K$58/8*231*(25.4/1000)^3</f>
        <v>4.7317647299999996E-4</v>
      </c>
      <c r="L65" s="272">
        <f>L$59/4*231*(25.4/1000)^3</f>
        <v>9.4635294599999993E-4</v>
      </c>
      <c r="M65" s="272">
        <f>M$60*231*(25.4/1000)^3</f>
        <v>3.7854117839999997E-3</v>
      </c>
      <c r="N65" s="272">
        <f>N$61*42*231*(25.4/1000)^3</f>
        <v>0.15898729492799998</v>
      </c>
      <c r="O65" s="272">
        <f>O$62/(0.999998)^3*43560*(12*25.4/1000)^3</f>
        <v>1233.4892384681484</v>
      </c>
      <c r="P65" s="272">
        <f>P$63/(1000)^3</f>
        <v>1.0000000000000001E-9</v>
      </c>
      <c r="Q65" s="272">
        <f>Q$64/(100)^3</f>
        <v>9.9999999999999995E-7</v>
      </c>
      <c r="R65" s="270">
        <v>1</v>
      </c>
      <c r="S65" s="272">
        <f>S$66/(100)^3</f>
        <v>9.9999999999999995E-7</v>
      </c>
      <c r="T65" s="273">
        <f>T$67/1000</f>
        <v>1E-3</v>
      </c>
      <c r="U65" s="298" t="s">
        <v>821</v>
      </c>
      <c r="V65" s="5"/>
    </row>
    <row r="66" spans="1:159" x14ac:dyDescent="0.2">
      <c r="A66" s="857"/>
      <c r="B66" t="s">
        <v>822</v>
      </c>
      <c r="D66" s="272">
        <f>D$51*(2.54)^3</f>
        <v>16.387063999999999</v>
      </c>
      <c r="E66" s="272">
        <f>E$52*(12*2.54)^3</f>
        <v>28316.846592000002</v>
      </c>
      <c r="F66" s="272">
        <f>F$53*(36*2.54)^3</f>
        <v>764554.857984</v>
      </c>
      <c r="G66" s="272">
        <f>G$54/6/128*231*(2.54)^3</f>
        <v>4.9289215937499993</v>
      </c>
      <c r="H66" s="272">
        <f>H$55/2/128*231*(2.54)^3</f>
        <v>14.78676478125</v>
      </c>
      <c r="I66" s="272">
        <f>I$56/128*231*(2.54)^3</f>
        <v>29.573529562499999</v>
      </c>
      <c r="J66" s="272">
        <f>J$57/16*231*(2.54)^3</f>
        <v>236.58823649999999</v>
      </c>
      <c r="K66" s="272">
        <f>K$58/8*231*(2.54)^3</f>
        <v>473.17647299999999</v>
      </c>
      <c r="L66" s="272">
        <f>L$59/4*231*(2.54)^3</f>
        <v>946.35294599999997</v>
      </c>
      <c r="M66" s="272">
        <f>M$60*231*(2.54)^3</f>
        <v>3785.4117839999999</v>
      </c>
      <c r="N66" s="272">
        <f>N$61*42*231*(2.54)^3</f>
        <v>158987.29492799999</v>
      </c>
      <c r="O66" s="272">
        <f>O$62/(0.999998)^3*43560*(12*2.54)^3</f>
        <v>1233489238.4681487</v>
      </c>
      <c r="P66" s="272">
        <f>P$63/1000</f>
        <v>1E-3</v>
      </c>
      <c r="Q66" s="272">
        <f>Q$64</f>
        <v>1</v>
      </c>
      <c r="R66" s="272">
        <f>R$65*(100)^3</f>
        <v>1000000</v>
      </c>
      <c r="S66" s="270">
        <v>1</v>
      </c>
      <c r="T66" s="273">
        <f>T$67*1000</f>
        <v>1000</v>
      </c>
      <c r="U66" s="298" t="s">
        <v>822</v>
      </c>
      <c r="V66" s="5"/>
    </row>
    <row r="67" spans="1:159" s="304" customFormat="1" ht="13.5" thickBot="1" x14ac:dyDescent="0.25">
      <c r="A67" s="858"/>
      <c r="B67" s="276" t="s">
        <v>823</v>
      </c>
      <c r="C67" s="277"/>
      <c r="D67" s="279">
        <f>D$51*(2.54)^3/1000</f>
        <v>1.6387064E-2</v>
      </c>
      <c r="E67" s="279">
        <f>E$52*(12*2.54)^3/1000</f>
        <v>28.316846592000001</v>
      </c>
      <c r="F67" s="279">
        <f>F$53*(36*2.54)^3/1000</f>
        <v>764.55485798400002</v>
      </c>
      <c r="G67" s="279">
        <f>G$54/6/128*231*(2.54)^3/1000</f>
        <v>4.928921593749999E-3</v>
      </c>
      <c r="H67" s="279">
        <f>H$55/2/128*231*(2.54)^3/1000</f>
        <v>1.478676478125E-2</v>
      </c>
      <c r="I67" s="279">
        <f>I$56/128*231*(2.54)^3/1000</f>
        <v>2.9573529562499999E-2</v>
      </c>
      <c r="J67" s="279">
        <f>J$57/16*231*(2.54)^3/1000</f>
        <v>0.23658823649999999</v>
      </c>
      <c r="K67" s="279">
        <f>K$58/8*231*(2.54)^3/1000</f>
        <v>0.47317647299999999</v>
      </c>
      <c r="L67" s="306">
        <f>L$59/4*231*(2.54)^3/1000</f>
        <v>0.94635294599999997</v>
      </c>
      <c r="M67" s="306">
        <f>M$60*231*(2.54)^3/1000</f>
        <v>3.7854117839999999</v>
      </c>
      <c r="N67" s="306">
        <f>N$61*42*231*(2.54)^3/1000</f>
        <v>158.98729492799998</v>
      </c>
      <c r="O67" s="279">
        <f>O$62/(0.999998)^3*43560*(12*2.54)^3/1000</f>
        <v>1233489.2384681487</v>
      </c>
      <c r="P67" s="279">
        <f>P$63/1000/1000</f>
        <v>9.9999999999999995E-7</v>
      </c>
      <c r="Q67" s="279">
        <f>Q$64/1000</f>
        <v>1E-3</v>
      </c>
      <c r="R67" s="279">
        <f>R$65*1000</f>
        <v>1000</v>
      </c>
      <c r="S67" s="279">
        <f>S$66/1000</f>
        <v>1E-3</v>
      </c>
      <c r="T67" s="289">
        <v>1</v>
      </c>
      <c r="U67" s="299" t="s">
        <v>823</v>
      </c>
      <c r="V67" s="5"/>
      <c r="W67"/>
      <c r="X67"/>
      <c r="Y67"/>
      <c r="Z67"/>
      <c r="AA67"/>
      <c r="AB67"/>
      <c r="AC67"/>
      <c r="AD67"/>
      <c r="AE67"/>
      <c r="AF67"/>
      <c r="AG67"/>
      <c r="AH67"/>
      <c r="AI67"/>
      <c r="AJ67"/>
      <c r="AK67"/>
      <c r="AL67"/>
      <c r="AM67"/>
      <c r="AN67"/>
    </row>
    <row r="68" spans="1:159" x14ac:dyDescent="0.2">
      <c r="A68" s="300"/>
      <c r="D68" s="9" t="s">
        <v>824</v>
      </c>
      <c r="E68" s="9"/>
      <c r="F68" s="9"/>
      <c r="G68" s="9"/>
      <c r="H68" s="9"/>
      <c r="I68" s="9"/>
      <c r="J68" s="9"/>
      <c r="K68" s="9"/>
      <c r="L68" s="9"/>
      <c r="M68" s="307"/>
      <c r="N68" s="307"/>
      <c r="O68" s="307"/>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row>
    <row r="69" spans="1:159" x14ac:dyDescent="0.2">
      <c r="A69" s="300"/>
      <c r="D69" s="9" t="s">
        <v>825</v>
      </c>
      <c r="E69" s="9"/>
      <c r="F69" s="9"/>
      <c r="G69" s="9"/>
      <c r="H69" s="9"/>
      <c r="I69" s="9"/>
      <c r="J69" s="9"/>
      <c r="K69" s="9"/>
      <c r="L69" s="9"/>
      <c r="M69" s="307"/>
      <c r="N69" s="307"/>
      <c r="O69" s="307"/>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row>
    <row r="70" spans="1:159" x14ac:dyDescent="0.2">
      <c r="A70" s="300"/>
      <c r="D70" s="9" t="s">
        <v>826</v>
      </c>
      <c r="E70" s="9"/>
      <c r="F70" s="9"/>
      <c r="G70" s="9"/>
      <c r="H70" s="9"/>
      <c r="I70" s="9"/>
      <c r="J70" s="9"/>
      <c r="K70" s="9"/>
      <c r="L70" s="9"/>
      <c r="M70" s="307"/>
      <c r="N70" s="307"/>
      <c r="O70" s="307"/>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row>
    <row r="71" spans="1:159" x14ac:dyDescent="0.2">
      <c r="A71" s="300"/>
      <c r="D71" s="9" t="s">
        <v>827</v>
      </c>
      <c r="E71" s="9"/>
      <c r="F71" s="9"/>
      <c r="G71" s="9"/>
      <c r="H71" s="9"/>
      <c r="I71" s="9"/>
      <c r="J71" s="9"/>
      <c r="K71" s="9"/>
      <c r="L71" s="9"/>
      <c r="M71" s="307"/>
      <c r="N71" s="307"/>
      <c r="O71" s="307"/>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row>
    <row r="72" spans="1:159" ht="13.5" thickBot="1" x14ac:dyDescent="0.25">
      <c r="A72" s="300"/>
      <c r="D72" s="9"/>
      <c r="E72" s="9"/>
      <c r="F72" s="9"/>
      <c r="G72" s="9"/>
      <c r="H72" s="9"/>
      <c r="I72" s="9"/>
      <c r="J72" s="9"/>
      <c r="K72" s="9"/>
      <c r="L72" s="9"/>
      <c r="M72" s="307"/>
      <c r="N72" s="307"/>
      <c r="O72" s="307"/>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row>
    <row r="73" spans="1:159" s="259" customFormat="1" ht="29.25" thickTop="1" thickBot="1" x14ac:dyDescent="0.4">
      <c r="B73" s="260" t="s">
        <v>828</v>
      </c>
      <c r="D73" s="293" t="s">
        <v>829</v>
      </c>
      <c r="E73" s="293" t="s">
        <v>830</v>
      </c>
      <c r="F73" s="293" t="s">
        <v>831</v>
      </c>
      <c r="G73" s="293" t="s">
        <v>832</v>
      </c>
      <c r="H73" s="294" t="s">
        <v>785</v>
      </c>
      <c r="I73" s="294" t="s">
        <v>833</v>
      </c>
      <c r="J73" s="308" t="s">
        <v>828</v>
      </c>
      <c r="R73" s="296"/>
    </row>
    <row r="74" spans="1:159" s="80" customFormat="1" x14ac:dyDescent="0.2">
      <c r="A74" s="283"/>
      <c r="B74" s="309" t="s">
        <v>834</v>
      </c>
      <c r="C74" s="310"/>
      <c r="D74" s="311">
        <v>1</v>
      </c>
      <c r="E74" s="312">
        <f>E$75*2</f>
        <v>2</v>
      </c>
      <c r="F74" s="312">
        <f>F$76*2*4*2</f>
        <v>16</v>
      </c>
      <c r="G74" s="312">
        <f>G$77*4*8*2</f>
        <v>64</v>
      </c>
      <c r="H74" s="313">
        <f>H78/2150.42*64</f>
        <v>2.9761627961049468E-2</v>
      </c>
      <c r="I74" s="313">
        <f>I$79/0.5506105</f>
        <v>1.8161658740616098</v>
      </c>
      <c r="J74" s="314" t="s">
        <v>834</v>
      </c>
      <c r="K74" s="12"/>
      <c r="L74" s="12"/>
      <c r="M74" s="256"/>
      <c r="N74" s="256"/>
      <c r="O74" s="256"/>
      <c r="P74" s="12"/>
      <c r="Q74"/>
      <c r="R74"/>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row>
    <row r="75" spans="1:159" x14ac:dyDescent="0.2">
      <c r="A75" s="300"/>
      <c r="B75" s="315" t="s">
        <v>835</v>
      </c>
      <c r="C75" s="80"/>
      <c r="D75" s="266">
        <f>D$74/2</f>
        <v>0.5</v>
      </c>
      <c r="E75" s="270">
        <v>1</v>
      </c>
      <c r="F75" s="266">
        <f>F$76*2*4</f>
        <v>8</v>
      </c>
      <c r="G75" s="266">
        <f>G$77*4*8</f>
        <v>32</v>
      </c>
      <c r="H75" s="267">
        <f>H78/2150.42*32</f>
        <v>1.4880813980524734E-2</v>
      </c>
      <c r="I75" s="267">
        <f>I$79/1.101221</f>
        <v>0.90808293703080489</v>
      </c>
      <c r="J75" s="297" t="s">
        <v>835</v>
      </c>
      <c r="K75" s="9"/>
      <c r="L75" s="9"/>
      <c r="M75" s="316"/>
      <c r="N75" s="316"/>
      <c r="O75" s="316"/>
      <c r="P75" s="316"/>
      <c r="Q75" s="316"/>
      <c r="R75" s="316"/>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row>
    <row r="76" spans="1:159" x14ac:dyDescent="0.2">
      <c r="A76" s="300"/>
      <c r="B76" s="80" t="s">
        <v>836</v>
      </c>
      <c r="C76" s="80"/>
      <c r="D76" s="272">
        <f>D$74/2/4/2</f>
        <v>6.25E-2</v>
      </c>
      <c r="E76" s="272">
        <f>E$75/4/2</f>
        <v>0.125</v>
      </c>
      <c r="F76" s="270">
        <v>1</v>
      </c>
      <c r="G76" s="272">
        <f>G$77*4</f>
        <v>4</v>
      </c>
      <c r="H76" s="273">
        <f>H78/2150.42*4</f>
        <v>1.8601017475655918E-3</v>
      </c>
      <c r="I76" s="273">
        <f>I$79/8.809768</f>
        <v>0.11351036712885061</v>
      </c>
      <c r="J76" s="298" t="s">
        <v>836</v>
      </c>
      <c r="K76" s="9"/>
      <c r="L76" s="9"/>
      <c r="M76" s="316"/>
      <c r="N76" s="316"/>
      <c r="O76" s="316"/>
      <c r="P76" s="316"/>
      <c r="Q76" s="316"/>
      <c r="R76" s="316"/>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row>
    <row r="77" spans="1:159" x14ac:dyDescent="0.2">
      <c r="A77" s="300"/>
      <c r="B77" s="80" t="s">
        <v>837</v>
      </c>
      <c r="C77" s="80"/>
      <c r="D77" s="272">
        <f>D$74/2/4/8</f>
        <v>1.5625E-2</v>
      </c>
      <c r="E77" s="272">
        <f>E$75/4/8</f>
        <v>3.125E-2</v>
      </c>
      <c r="F77" s="272">
        <f>F$76/4</f>
        <v>0.25</v>
      </c>
      <c r="G77" s="270">
        <v>1</v>
      </c>
      <c r="H77" s="273">
        <f>H78/2150.42</f>
        <v>4.6502543689139794E-4</v>
      </c>
      <c r="I77" s="273">
        <f>I$79/35.239072</f>
        <v>2.8377591782212653E-2</v>
      </c>
      <c r="J77" s="298" t="s">
        <v>837</v>
      </c>
      <c r="K77" s="9"/>
      <c r="L77" s="9"/>
      <c r="M77" s="316"/>
      <c r="N77" s="316"/>
      <c r="O77" s="316"/>
      <c r="P77" s="316"/>
      <c r="Q77" s="316"/>
      <c r="R77" s="316"/>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row>
    <row r="78" spans="1:159" x14ac:dyDescent="0.2">
      <c r="A78" s="300"/>
      <c r="B78" s="315" t="s">
        <v>802</v>
      </c>
      <c r="C78" s="12"/>
      <c r="D78" s="266">
        <f>D$74*2150.42/64</f>
        <v>33.600312500000001</v>
      </c>
      <c r="E78" s="266">
        <f>E$75*2150.42/32</f>
        <v>67.200625000000002</v>
      </c>
      <c r="F78" s="266">
        <f>F$76*2150.42/4</f>
        <v>537.60500000000002</v>
      </c>
      <c r="G78" s="266">
        <f>G$77*2150.42</f>
        <v>2150.42</v>
      </c>
      <c r="H78" s="317">
        <v>1</v>
      </c>
      <c r="I78" s="267">
        <f>I79*1000*(10/25.4)^3</f>
        <v>61.023744094732287</v>
      </c>
      <c r="J78" s="297"/>
      <c r="K78" s="9"/>
      <c r="L78" s="9"/>
      <c r="M78" s="316"/>
      <c r="N78" s="316"/>
      <c r="O78" s="316"/>
      <c r="P78" s="316"/>
      <c r="Q78" s="316"/>
      <c r="R78" s="316"/>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row>
    <row r="79" spans="1:159" s="80" customFormat="1" ht="13.5" thickBot="1" x14ac:dyDescent="0.25">
      <c r="A79" s="275"/>
      <c r="B79" s="276" t="s">
        <v>838</v>
      </c>
      <c r="C79" s="277"/>
      <c r="D79" s="279">
        <f>D$74*0.5506105</f>
        <v>0.5506105</v>
      </c>
      <c r="E79" s="279">
        <f>E$75*1.101221</f>
        <v>1.101221</v>
      </c>
      <c r="F79" s="279">
        <f>F$76*8.809768</f>
        <v>8.809768</v>
      </c>
      <c r="G79" s="279">
        <f>G$77*35.239072</f>
        <v>35.239072</v>
      </c>
      <c r="H79" s="318">
        <f>H$78*(2.54)^3/1000</f>
        <v>1.6387064E-2</v>
      </c>
      <c r="I79" s="289">
        <v>1</v>
      </c>
      <c r="J79" s="299" t="s">
        <v>838</v>
      </c>
      <c r="K79" s="12"/>
      <c r="L79" s="12"/>
      <c r="M79" s="319"/>
      <c r="N79" s="319"/>
      <c r="O79" s="319"/>
      <c r="P79" s="319"/>
      <c r="Q79" s="319"/>
      <c r="R79" s="319"/>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row>
    <row r="80" spans="1:159" x14ac:dyDescent="0.2">
      <c r="A80" s="300"/>
      <c r="D80" s="9" t="s">
        <v>839</v>
      </c>
      <c r="E80" s="9"/>
      <c r="F80" s="9"/>
      <c r="G80" s="9"/>
      <c r="H80" s="9"/>
      <c r="I80" s="9"/>
      <c r="J80" s="9"/>
      <c r="K80" s="9"/>
      <c r="L80" s="9"/>
      <c r="M80" s="307"/>
      <c r="N80" s="307"/>
      <c r="O80" s="307"/>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row>
    <row r="81" spans="1:159" x14ac:dyDescent="0.2">
      <c r="A81" s="300"/>
      <c r="D81" s="9" t="s">
        <v>840</v>
      </c>
      <c r="E81" s="9"/>
      <c r="F81" s="9"/>
      <c r="G81" s="9"/>
      <c r="H81" s="9"/>
      <c r="I81" s="9"/>
      <c r="J81" s="9"/>
      <c r="K81" s="9"/>
      <c r="L81" s="9"/>
      <c r="M81" s="307"/>
      <c r="N81" s="307"/>
      <c r="O81" s="307"/>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row>
    <row r="82" spans="1:159" ht="13.5" thickBot="1" x14ac:dyDescent="0.25"/>
    <row r="83" spans="1:159" s="259" customFormat="1" ht="29.25" thickTop="1" thickBot="1" x14ac:dyDescent="0.4">
      <c r="B83" s="292" t="s">
        <v>841</v>
      </c>
      <c r="C83" s="291"/>
      <c r="D83" s="293" t="s">
        <v>842</v>
      </c>
      <c r="E83" s="293" t="s">
        <v>843</v>
      </c>
      <c r="F83" s="293" t="s">
        <v>844</v>
      </c>
      <c r="G83" s="293" t="s">
        <v>845</v>
      </c>
      <c r="H83" s="293" t="s">
        <v>846</v>
      </c>
      <c r="I83" s="293" t="s">
        <v>847</v>
      </c>
      <c r="J83" s="293" t="s">
        <v>848</v>
      </c>
      <c r="K83" s="293" t="s">
        <v>849</v>
      </c>
      <c r="L83" s="293" t="s">
        <v>850</v>
      </c>
      <c r="M83" s="294" t="s">
        <v>851</v>
      </c>
      <c r="N83" s="295" t="s">
        <v>841</v>
      </c>
      <c r="R83" s="296"/>
    </row>
    <row r="84" spans="1:159" s="80" customFormat="1" x14ac:dyDescent="0.2">
      <c r="A84" s="859" t="s">
        <v>738</v>
      </c>
      <c r="B84" s="315" t="s">
        <v>852</v>
      </c>
      <c r="D84" s="270">
        <v>1</v>
      </c>
      <c r="E84" s="266">
        <f>E$85/16*7000</f>
        <v>437.5</v>
      </c>
      <c r="F84" s="266">
        <f>F$86*7000</f>
        <v>7000</v>
      </c>
      <c r="G84" s="266">
        <f>G$87*2000*7000</f>
        <v>14000000</v>
      </c>
      <c r="H84" s="266">
        <f>H$88*480</f>
        <v>480</v>
      </c>
      <c r="I84" s="266">
        <f>I$89*12*480</f>
        <v>5760</v>
      </c>
      <c r="J84" s="266">
        <f>J$90/1000/28.349523125/16*7000</f>
        <v>1.5432358352941431E-2</v>
      </c>
      <c r="K84" s="266">
        <f>K$91/28.349523125/16*7000</f>
        <v>15.432358352941431</v>
      </c>
      <c r="L84" s="266">
        <f>L$92*1000/28.349523125/16*7000</f>
        <v>134878812.00470811</v>
      </c>
      <c r="M84" s="267">
        <f>M$93*1000*1000/28.349523125/16*7000</f>
        <v>15432358.352941431</v>
      </c>
      <c r="N84" s="297" t="s">
        <v>852</v>
      </c>
    </row>
    <row r="85" spans="1:159" x14ac:dyDescent="0.2">
      <c r="A85" s="860"/>
      <c r="B85" s="264" t="s">
        <v>853</v>
      </c>
      <c r="D85" s="266">
        <f>D$84/7000*16</f>
        <v>2.2857142857142859E-3</v>
      </c>
      <c r="E85" s="270">
        <v>1</v>
      </c>
      <c r="F85" s="266">
        <f>F$86*16</f>
        <v>16</v>
      </c>
      <c r="G85" s="266">
        <f>G$87*2000*16</f>
        <v>32000</v>
      </c>
      <c r="H85" s="266">
        <f>H$88*480/7000*16</f>
        <v>1.0971428571428572</v>
      </c>
      <c r="I85" s="266">
        <f>I$89*12*480/7000*16</f>
        <v>13.165714285714285</v>
      </c>
      <c r="J85" s="266">
        <f>J$90/1000/28.349523125</f>
        <v>3.5273961949580415E-5</v>
      </c>
      <c r="K85" s="266">
        <f>K$91/28.349523125</f>
        <v>3.5273961949580414E-2</v>
      </c>
      <c r="L85" s="266">
        <f>L$92*1000/28.349523125</f>
        <v>308294.42743933282</v>
      </c>
      <c r="M85" s="267">
        <f>M$93*1000*1000/28.349523125</f>
        <v>35273.961949580415</v>
      </c>
      <c r="N85" s="297" t="s">
        <v>853</v>
      </c>
      <c r="P85" s="316"/>
      <c r="Q85" s="316"/>
      <c r="R85" s="316"/>
      <c r="S85" s="316"/>
      <c r="T85" s="316"/>
      <c r="U85" s="316"/>
      <c r="V85" s="316"/>
      <c r="W85" s="316"/>
      <c r="X85" s="316"/>
      <c r="Y85" s="316"/>
      <c r="Z85" s="316"/>
      <c r="AA85" s="316"/>
    </row>
    <row r="86" spans="1:159" x14ac:dyDescent="0.2">
      <c r="A86" s="860"/>
      <c r="B86" t="s">
        <v>854</v>
      </c>
      <c r="D86" s="320">
        <f>D$84/7000</f>
        <v>1.4285714285714287E-4</v>
      </c>
      <c r="E86" s="320">
        <f>E$85/16</f>
        <v>6.25E-2</v>
      </c>
      <c r="F86" s="270">
        <v>1</v>
      </c>
      <c r="G86" s="320">
        <f>G$87*2000</f>
        <v>2000</v>
      </c>
      <c r="H86" s="320">
        <f>H$88*480/7000</f>
        <v>6.8571428571428575E-2</v>
      </c>
      <c r="I86" s="320">
        <f>I$89*12*480/7000</f>
        <v>0.82285714285714284</v>
      </c>
      <c r="J86" s="320">
        <f>J$90/1000/0.45359237/1000</f>
        <v>2.204622621848776E-6</v>
      </c>
      <c r="K86" s="320">
        <f>K$91/0.45359237/1000</f>
        <v>2.2046226218487759E-3</v>
      </c>
      <c r="L86" s="320">
        <f>L$92/0.45359237</f>
        <v>19268.401714958298</v>
      </c>
      <c r="M86" s="5">
        <f>M$93*1000*1000/28.349523125/16</f>
        <v>2204.6226218487759</v>
      </c>
      <c r="N86" s="298" t="s">
        <v>854</v>
      </c>
      <c r="P86" s="316"/>
      <c r="Q86" s="316"/>
      <c r="R86" s="316"/>
      <c r="S86" s="316"/>
      <c r="T86" s="316"/>
      <c r="U86" s="316"/>
      <c r="V86" s="316"/>
      <c r="W86" s="316"/>
      <c r="X86" s="316"/>
      <c r="Y86" s="316"/>
      <c r="Z86" s="316"/>
      <c r="AA86" s="316"/>
    </row>
    <row r="87" spans="1:159" s="80" customFormat="1" ht="13.5" thickBot="1" x14ac:dyDescent="0.25">
      <c r="A87" s="861"/>
      <c r="B87" s="277" t="s">
        <v>855</v>
      </c>
      <c r="C87" s="277"/>
      <c r="D87" s="321">
        <f>D$84/7000/2000</f>
        <v>7.1428571428571437E-8</v>
      </c>
      <c r="E87" s="321">
        <f>E$85/16/2000</f>
        <v>3.1250000000000001E-5</v>
      </c>
      <c r="F87" s="321">
        <f>F$86/2000</f>
        <v>5.0000000000000001E-4</v>
      </c>
      <c r="G87" s="280">
        <v>1</v>
      </c>
      <c r="H87" s="321">
        <f>H$88*480/7000/2000</f>
        <v>3.428571428571429E-5</v>
      </c>
      <c r="I87" s="321">
        <f>I$89*12*480/7000/2000</f>
        <v>4.1142857142857143E-4</v>
      </c>
      <c r="J87" s="321">
        <f>J$90/1000/1000/0.45359237/2000</f>
        <v>1.1023113109243877E-9</v>
      </c>
      <c r="K87" s="321">
        <f>K$91/0.45359237/1000/2000</f>
        <v>1.102311310924388E-6</v>
      </c>
      <c r="L87" s="321">
        <f>L$92/0.45359237/2000</f>
        <v>9.6342008574791489</v>
      </c>
      <c r="M87" s="322">
        <f>M$93*1000*1000/28.349523125/16/2000</f>
        <v>1.1023113109243881</v>
      </c>
      <c r="N87" s="301" t="s">
        <v>855</v>
      </c>
      <c r="P87" s="319"/>
      <c r="Q87" s="319"/>
      <c r="R87" s="319"/>
      <c r="S87" s="319"/>
      <c r="T87" s="319"/>
      <c r="U87" s="319"/>
      <c r="V87" s="319"/>
      <c r="W87" s="319"/>
      <c r="X87" s="319"/>
      <c r="Y87" s="319"/>
      <c r="Z87" s="319"/>
      <c r="AA87" s="319"/>
    </row>
    <row r="88" spans="1:159" x14ac:dyDescent="0.2">
      <c r="A88" s="859" t="s">
        <v>856</v>
      </c>
      <c r="B88" s="264" t="s">
        <v>857</v>
      </c>
      <c r="D88" s="266">
        <f>D$84/480</f>
        <v>2.0833333333333333E-3</v>
      </c>
      <c r="E88" s="266">
        <f>E$85/16*7000/480</f>
        <v>0.91145833333333337</v>
      </c>
      <c r="F88" s="266">
        <f>F$86*7000/480</f>
        <v>14.583333333333334</v>
      </c>
      <c r="G88" s="266">
        <f>G$87*2000*7000/480</f>
        <v>29166.666666666668</v>
      </c>
      <c r="H88" s="270">
        <v>1</v>
      </c>
      <c r="I88" s="266">
        <f>I$89*12</f>
        <v>12</v>
      </c>
      <c r="J88" s="266">
        <f>J$90/1000/31.1034768</f>
        <v>3.2150746568627979E-5</v>
      </c>
      <c r="K88" s="266">
        <f>K$91/31.1034768</f>
        <v>3.2150746568627979E-2</v>
      </c>
      <c r="L88" s="266">
        <f>L$92*1000/31.1034768</f>
        <v>280997.52500980854</v>
      </c>
      <c r="M88" s="267">
        <f>M$93*1000*1000/31.1034768</f>
        <v>32150.746568627983</v>
      </c>
      <c r="N88" s="297" t="s">
        <v>857</v>
      </c>
      <c r="P88" s="316"/>
      <c r="Q88" s="316"/>
      <c r="R88" s="316"/>
      <c r="S88" s="316"/>
      <c r="T88" s="316"/>
      <c r="U88" s="316"/>
      <c r="V88" s="316"/>
      <c r="W88" s="316"/>
      <c r="X88" s="316"/>
      <c r="Y88" s="316"/>
      <c r="Z88" s="316"/>
      <c r="AA88" s="316"/>
    </row>
    <row r="89" spans="1:159" s="80" customFormat="1" ht="13.5" thickBot="1" x14ac:dyDescent="0.25">
      <c r="A89" s="861"/>
      <c r="B89" s="276" t="s">
        <v>858</v>
      </c>
      <c r="C89" s="277"/>
      <c r="D89" s="279">
        <f>D$84/480/12</f>
        <v>1.7361111111111112E-4</v>
      </c>
      <c r="E89" s="279">
        <f>E$85/16*7000/480/12</f>
        <v>7.5954861111111119E-2</v>
      </c>
      <c r="F89" s="279">
        <f>F$86*7000/480/12</f>
        <v>1.2152777777777779</v>
      </c>
      <c r="G89" s="279">
        <f>G$87*2000*7000/480/12</f>
        <v>2430.5555555555557</v>
      </c>
      <c r="H89" s="279">
        <f>H$88/12</f>
        <v>8.3333333333333329E-2</v>
      </c>
      <c r="I89" s="280">
        <v>1</v>
      </c>
      <c r="J89" s="279">
        <f>J$90/1000/31.1034768/12</f>
        <v>2.6792288807189983E-6</v>
      </c>
      <c r="K89" s="279">
        <f>K$91/31.1034768/12</f>
        <v>2.6792288807189982E-3</v>
      </c>
      <c r="L89" s="279">
        <f>L$92*1000/31.1034768/12</f>
        <v>23416.460417484046</v>
      </c>
      <c r="M89" s="281">
        <f>M$93*1000*1000/31.1034768/12</f>
        <v>2679.2288807189984</v>
      </c>
      <c r="N89" s="299" t="s">
        <v>858</v>
      </c>
      <c r="P89" s="319"/>
      <c r="Q89" s="319"/>
      <c r="R89" s="319"/>
      <c r="S89" s="319"/>
      <c r="T89" s="319"/>
      <c r="U89" s="319"/>
      <c r="V89" s="319"/>
      <c r="W89" s="319"/>
      <c r="X89" s="319"/>
      <c r="Y89" s="319"/>
      <c r="Z89" s="319"/>
      <c r="AA89" s="319"/>
    </row>
    <row r="90" spans="1:159" x14ac:dyDescent="0.2">
      <c r="A90" s="859" t="s">
        <v>743</v>
      </c>
      <c r="B90" t="s">
        <v>859</v>
      </c>
      <c r="D90" s="320">
        <f>D$84*0.06479891*1000</f>
        <v>64.798910000000006</v>
      </c>
      <c r="E90" s="320">
        <f>E$85*28.349523125*1000</f>
        <v>28349.523125</v>
      </c>
      <c r="F90" s="320">
        <f>F$86*0.45359237*1000*1000</f>
        <v>453592.37</v>
      </c>
      <c r="G90" s="320">
        <f>G$87*2000*0.45359237*1000*1000</f>
        <v>907184740</v>
      </c>
      <c r="H90" s="320">
        <f>H$88*480/7000*16*28.349523125*1000</f>
        <v>31103.476800000004</v>
      </c>
      <c r="I90" s="320">
        <f>I$89*12*480/7000*16*28.349523125*1000</f>
        <v>373241.72159999999</v>
      </c>
      <c r="J90" s="270">
        <v>1</v>
      </c>
      <c r="K90" s="320">
        <f>K$91*1000</f>
        <v>1000</v>
      </c>
      <c r="L90" s="320">
        <f>L$92*1000*1000</f>
        <v>8740000000</v>
      </c>
      <c r="M90" s="5">
        <f>M$93*1000*1000*1000</f>
        <v>1000000000</v>
      </c>
      <c r="N90" s="298" t="s">
        <v>859</v>
      </c>
      <c r="P90" s="316"/>
      <c r="Q90" s="316"/>
      <c r="R90" s="316"/>
      <c r="S90" s="316"/>
      <c r="T90" s="316"/>
      <c r="U90" s="316"/>
      <c r="V90" s="316"/>
      <c r="W90" s="316"/>
      <c r="X90" s="316"/>
      <c r="Y90" s="316"/>
      <c r="Z90" s="316"/>
      <c r="AA90" s="316"/>
    </row>
    <row r="91" spans="1:159" x14ac:dyDescent="0.2">
      <c r="A91" s="860"/>
      <c r="B91" t="s">
        <v>860</v>
      </c>
      <c r="D91" s="320">
        <f>D$84*0.06479891</f>
        <v>6.4798910000000001E-2</v>
      </c>
      <c r="E91" s="320">
        <f>E$85*28.349523125</f>
        <v>28.349523125000001</v>
      </c>
      <c r="F91" s="320">
        <f>F$86*0.45359237*1000</f>
        <v>453.59237000000002</v>
      </c>
      <c r="G91" s="320">
        <f>G$87*2000*0.45359237*1000</f>
        <v>907184.74</v>
      </c>
      <c r="H91" s="320">
        <f>H$88*480/7000*16*28.349523125</f>
        <v>31.103476800000003</v>
      </c>
      <c r="I91" s="320">
        <f>I$89*12*480/7000*16*28.349523125</f>
        <v>373.24172160000001</v>
      </c>
      <c r="J91" s="320">
        <f>J$90/1000</f>
        <v>1E-3</v>
      </c>
      <c r="K91" s="270">
        <v>1</v>
      </c>
      <c r="L91" s="320">
        <f>L$92*1000</f>
        <v>8740000</v>
      </c>
      <c r="M91" s="5">
        <f>M$93*1000*1000</f>
        <v>1000000</v>
      </c>
      <c r="N91" s="298" t="s">
        <v>860</v>
      </c>
      <c r="P91" s="316"/>
      <c r="Q91" s="316"/>
      <c r="R91" s="316"/>
      <c r="S91" s="316"/>
      <c r="T91" s="316"/>
      <c r="U91" s="316"/>
      <c r="V91" s="316"/>
      <c r="W91" s="316"/>
      <c r="X91" s="316"/>
      <c r="Y91" s="316"/>
      <c r="Z91" s="316"/>
      <c r="AA91" s="316"/>
    </row>
    <row r="92" spans="1:159" x14ac:dyDescent="0.2">
      <c r="A92" s="860"/>
      <c r="B92" s="264" t="s">
        <v>861</v>
      </c>
      <c r="D92" s="266">
        <f>D$84*0.06479891/1000</f>
        <v>6.4798909999999995E-5</v>
      </c>
      <c r="E92" s="266">
        <f>E$85*28.349523125/1000</f>
        <v>2.8349523125000001E-2</v>
      </c>
      <c r="F92" s="266">
        <f>F$86*0.45359237</f>
        <v>0.45359237000000002</v>
      </c>
      <c r="G92" s="266">
        <f>G$87*2000*0.45359237</f>
        <v>907.18474000000003</v>
      </c>
      <c r="H92" s="266">
        <f>H$88*480/7000*16*28.349523125/1000</f>
        <v>3.1103476800000002E-2</v>
      </c>
      <c r="I92" s="266">
        <f>I$89*12*480/7000*16*28.349523125/1000</f>
        <v>0.37324172160000002</v>
      </c>
      <c r="J92" s="266">
        <f>J$90/1000/1000</f>
        <v>9.9999999999999995E-7</v>
      </c>
      <c r="K92" s="266">
        <f>K$91/1000</f>
        <v>1E-3</v>
      </c>
      <c r="L92" s="270">
        <v>8740</v>
      </c>
      <c r="M92" s="267">
        <f>M$93*1000</f>
        <v>1000</v>
      </c>
      <c r="N92" s="297" t="s">
        <v>861</v>
      </c>
      <c r="P92" s="316"/>
      <c r="Q92" s="316"/>
      <c r="R92" s="316"/>
      <c r="S92" s="316"/>
      <c r="T92" s="316"/>
      <c r="U92" s="316"/>
      <c r="V92" s="316"/>
      <c r="W92" s="316"/>
      <c r="X92" s="316"/>
      <c r="Y92" s="316"/>
      <c r="Z92" s="316"/>
      <c r="AA92" s="316"/>
    </row>
    <row r="93" spans="1:159" s="80" customFormat="1" ht="13.5" thickBot="1" x14ac:dyDescent="0.25">
      <c r="A93" s="861"/>
      <c r="B93" s="276" t="s">
        <v>862</v>
      </c>
      <c r="C93" s="277"/>
      <c r="D93" s="279">
        <f>D$84*0.06479891/1000/1000</f>
        <v>6.4798909999999988E-8</v>
      </c>
      <c r="E93" s="279">
        <f>E$85*28.349523125/1000/1000</f>
        <v>2.8349523125000003E-5</v>
      </c>
      <c r="F93" s="279">
        <f>F$86*0.45359237/1000</f>
        <v>4.5359237000000004E-4</v>
      </c>
      <c r="G93" s="279">
        <f>G$87*2*0.45359237</f>
        <v>0.90718474000000004</v>
      </c>
      <c r="H93" s="279">
        <f>H$88*480/7000*16*28.349523125/1000/1000</f>
        <v>3.1103476799999998E-5</v>
      </c>
      <c r="I93" s="279">
        <f>I$89*12*480/7000*16*28.349523125/1000/1000</f>
        <v>3.7324172160000004E-4</v>
      </c>
      <c r="J93" s="279">
        <f>J$90/1000/1000/1000</f>
        <v>9.9999999999999986E-10</v>
      </c>
      <c r="K93" s="279">
        <f>K$91/1000/1000</f>
        <v>9.9999999999999995E-7</v>
      </c>
      <c r="L93" s="279">
        <f>L$92/1000</f>
        <v>8.74</v>
      </c>
      <c r="M93" s="289">
        <v>1</v>
      </c>
      <c r="N93" s="299" t="s">
        <v>862</v>
      </c>
      <c r="P93" s="319"/>
      <c r="Q93" s="319"/>
      <c r="R93" s="319"/>
      <c r="S93" s="319"/>
      <c r="T93" s="319"/>
      <c r="U93" s="319"/>
      <c r="V93" s="319"/>
      <c r="W93" s="319"/>
      <c r="X93" s="319"/>
      <c r="Y93" s="319"/>
      <c r="Z93" s="319"/>
      <c r="AA93" s="319"/>
    </row>
    <row r="94" spans="1:159" x14ac:dyDescent="0.2">
      <c r="D94" t="s">
        <v>863</v>
      </c>
    </row>
    <row r="95" spans="1:159" x14ac:dyDescent="0.2">
      <c r="D95" t="s">
        <v>864</v>
      </c>
    </row>
    <row r="96" spans="1:159" ht="13.5" thickBot="1" x14ac:dyDescent="0.25"/>
    <row r="97" spans="1:19" s="259" customFormat="1" ht="29.25" thickTop="1" thickBot="1" x14ac:dyDescent="0.4">
      <c r="A97" s="291"/>
      <c r="B97" s="292" t="s">
        <v>865</v>
      </c>
      <c r="C97" s="291"/>
      <c r="D97" s="293" t="s">
        <v>866</v>
      </c>
      <c r="E97" s="293" t="s">
        <v>867</v>
      </c>
      <c r="F97" s="293" t="s">
        <v>868</v>
      </c>
      <c r="G97" s="293" t="s">
        <v>869</v>
      </c>
      <c r="H97" s="293" t="s">
        <v>870</v>
      </c>
      <c r="I97" s="294" t="s">
        <v>871</v>
      </c>
      <c r="J97" s="295" t="s">
        <v>865</v>
      </c>
      <c r="R97" s="296"/>
    </row>
    <row r="98" spans="1:19" s="80" customFormat="1" x14ac:dyDescent="0.2">
      <c r="B98" s="315" t="s">
        <v>872</v>
      </c>
      <c r="D98" s="270">
        <v>1</v>
      </c>
      <c r="E98" s="266">
        <f>E$99*1000</f>
        <v>1000</v>
      </c>
      <c r="F98" s="266">
        <f>F$100*745.69987158227</f>
        <v>745.69987158227002</v>
      </c>
      <c r="G98" s="266">
        <f>G$101*746</f>
        <v>746</v>
      </c>
      <c r="H98" s="266">
        <f>H$102*1055.05585262/3600</f>
        <v>0.29307107017222223</v>
      </c>
      <c r="I98" s="267">
        <f>I$103*1.3558179483314</f>
        <v>1.3558179483313999</v>
      </c>
      <c r="J98" s="297" t="s">
        <v>872</v>
      </c>
    </row>
    <row r="99" spans="1:19" x14ac:dyDescent="0.2">
      <c r="B99" s="264" t="s">
        <v>873</v>
      </c>
      <c r="D99" s="266">
        <f>D$98/1000</f>
        <v>1E-3</v>
      </c>
      <c r="E99" s="270">
        <v>1</v>
      </c>
      <c r="F99" s="266">
        <f>F$100*745.69987158227/1000</f>
        <v>0.74569987158227002</v>
      </c>
      <c r="G99" s="266">
        <f>G$101*746/1000</f>
        <v>0.746</v>
      </c>
      <c r="H99" s="266">
        <f>H$102*1055.05585262/3600/1000</f>
        <v>2.930710701722222E-4</v>
      </c>
      <c r="I99" s="267">
        <f>I$103*1.3558179483314/1000</f>
        <v>1.3558179483314E-3</v>
      </c>
      <c r="J99" s="297" t="s">
        <v>873</v>
      </c>
      <c r="M99" s="316"/>
      <c r="N99" s="316"/>
      <c r="O99" s="316"/>
      <c r="P99" s="316"/>
      <c r="Q99" s="316"/>
      <c r="R99" s="316"/>
      <c r="S99" s="316"/>
    </row>
    <row r="100" spans="1:19" x14ac:dyDescent="0.2">
      <c r="B100" t="s">
        <v>874</v>
      </c>
      <c r="D100" s="320">
        <f>D$98/745.69987158227</f>
        <v>1.3410220895950283E-3</v>
      </c>
      <c r="E100" s="320">
        <f>E$99*1000/745.69987158227</f>
        <v>1.3410220895950282</v>
      </c>
      <c r="F100" s="270">
        <v>1</v>
      </c>
      <c r="G100" s="320">
        <f>G$101*746/745.69987158227</f>
        <v>1.0004024788378911</v>
      </c>
      <c r="H100" s="320">
        <f>H$102*1055.05585262/3600/745.69987158227</f>
        <v>3.9301477892220464E-4</v>
      </c>
      <c r="I100" s="5">
        <f>I$103/550</f>
        <v>1.8181818181818182E-3</v>
      </c>
      <c r="J100" s="298" t="s">
        <v>874</v>
      </c>
      <c r="M100" s="316"/>
      <c r="N100" s="316"/>
      <c r="O100" s="316"/>
      <c r="P100" s="316"/>
      <c r="Q100" s="316"/>
      <c r="R100" s="316"/>
      <c r="S100" s="316"/>
    </row>
    <row r="101" spans="1:19" x14ac:dyDescent="0.2">
      <c r="B101" t="s">
        <v>875</v>
      </c>
      <c r="D101" s="320">
        <f>D$98/746</f>
        <v>1.3404825737265416E-3</v>
      </c>
      <c r="E101" s="320">
        <f>E$99*1000/746</f>
        <v>1.3404825737265416</v>
      </c>
      <c r="F101" s="320">
        <f>F$100*745.69987158227/746</f>
        <v>0.99959768308615282</v>
      </c>
      <c r="G101" s="270">
        <v>1</v>
      </c>
      <c r="H101" s="320">
        <f>H$102*1055.05585262/3600/746</f>
        <v>3.9285666242925231E-4</v>
      </c>
      <c r="I101" s="5">
        <f>I$103*1.3558179483314/746</f>
        <v>1.817450332883914E-3</v>
      </c>
      <c r="J101" s="298" t="s">
        <v>875</v>
      </c>
      <c r="M101" s="316"/>
      <c r="N101" s="316"/>
      <c r="O101" s="316"/>
      <c r="P101" s="316"/>
      <c r="Q101" s="316"/>
      <c r="R101" s="316"/>
      <c r="S101" s="316"/>
    </row>
    <row r="102" spans="1:19" x14ac:dyDescent="0.2">
      <c r="B102" s="264" t="s">
        <v>876</v>
      </c>
      <c r="D102" s="266">
        <f>D$98/1055.05585262*3600</f>
        <v>3.4121416331279422</v>
      </c>
      <c r="E102" s="266">
        <f>E$99*1000/1055.05585262*3600</f>
        <v>3412.141633127942</v>
      </c>
      <c r="F102" s="266">
        <f>F$100*745.69987158227/1055.05585262*3600</f>
        <v>2544.4335776440234</v>
      </c>
      <c r="G102" s="266">
        <f>G$101*746/1055.05585262*3600</f>
        <v>2545.4576583134444</v>
      </c>
      <c r="H102" s="270">
        <v>1</v>
      </c>
      <c r="I102" s="267">
        <f>I$103*1.3558179483314/1055.05585262*3600</f>
        <v>4.6262428684436783</v>
      </c>
      <c r="J102" s="297" t="s">
        <v>876</v>
      </c>
      <c r="M102" s="316"/>
      <c r="N102" s="316"/>
      <c r="O102" s="316"/>
      <c r="P102" s="316"/>
      <c r="Q102" s="316"/>
      <c r="R102" s="316"/>
      <c r="S102" s="316"/>
    </row>
    <row r="103" spans="1:19" s="80" customFormat="1" ht="13.5" thickBot="1" x14ac:dyDescent="0.25">
      <c r="A103" s="277"/>
      <c r="B103" s="276" t="s">
        <v>877</v>
      </c>
      <c r="C103" s="277"/>
      <c r="D103" s="279">
        <f>D$98/1.3558179483314</f>
        <v>0.7375621492772656</v>
      </c>
      <c r="E103" s="279">
        <f>E$99*1000/1.3558179483314</f>
        <v>737.56214927726569</v>
      </c>
      <c r="F103" s="279">
        <f>F$100*550</f>
        <v>550</v>
      </c>
      <c r="G103" s="279">
        <f>G$101*746/1.3558179483314</f>
        <v>550.2213633608402</v>
      </c>
      <c r="H103" s="279">
        <f>H$102*1055.05585262/3600/745.69987158227*550</f>
        <v>0.21615812840721255</v>
      </c>
      <c r="I103" s="289">
        <v>1</v>
      </c>
      <c r="J103" s="299" t="s">
        <v>877</v>
      </c>
      <c r="M103" s="319"/>
      <c r="N103" s="319"/>
      <c r="O103" s="319"/>
      <c r="P103" s="319"/>
      <c r="Q103" s="319"/>
      <c r="R103" s="319"/>
      <c r="S103" s="319"/>
    </row>
    <row r="104" spans="1:19" x14ac:dyDescent="0.2">
      <c r="D104" t="s">
        <v>878</v>
      </c>
    </row>
    <row r="105" spans="1:19" x14ac:dyDescent="0.2">
      <c r="D105" t="s">
        <v>879</v>
      </c>
    </row>
    <row r="106" spans="1:19" x14ac:dyDescent="0.2">
      <c r="D106" t="s">
        <v>889</v>
      </c>
    </row>
    <row r="107" spans="1:19" x14ac:dyDescent="0.2">
      <c r="D107" t="s">
        <v>890</v>
      </c>
    </row>
    <row r="110" spans="1:19" ht="13.5" thickBot="1" x14ac:dyDescent="0.25"/>
    <row r="111" spans="1:19" s="259" customFormat="1" ht="29.25" thickTop="1" thickBot="1" x14ac:dyDescent="0.4">
      <c r="A111" s="291"/>
      <c r="B111" s="292" t="s">
        <v>891</v>
      </c>
      <c r="C111" s="291"/>
      <c r="D111" s="293" t="s">
        <v>892</v>
      </c>
      <c r="E111" s="293" t="s">
        <v>893</v>
      </c>
      <c r="F111" s="293" t="s">
        <v>895</v>
      </c>
      <c r="G111" s="293" t="s">
        <v>896</v>
      </c>
      <c r="H111" s="293" t="s">
        <v>897</v>
      </c>
      <c r="I111" s="293" t="s">
        <v>898</v>
      </c>
      <c r="J111" s="293" t="s">
        <v>899</v>
      </c>
      <c r="K111" s="293" t="s">
        <v>900</v>
      </c>
      <c r="L111" s="294" t="s">
        <v>901</v>
      </c>
      <c r="M111" s="295" t="s">
        <v>891</v>
      </c>
      <c r="R111" s="296"/>
    </row>
    <row r="112" spans="1:19" s="80" customFormat="1" x14ac:dyDescent="0.2">
      <c r="B112" s="315" t="s">
        <v>902</v>
      </c>
      <c r="D112" s="270">
        <v>1</v>
      </c>
      <c r="E112" s="266">
        <f>E$113*10000000</f>
        <v>10000000</v>
      </c>
      <c r="F112" s="266">
        <f>F$114*3600*10000000</f>
        <v>36000000000</v>
      </c>
      <c r="G112" s="266">
        <f>G$115*1000*3600*10000000</f>
        <v>36000000000000</v>
      </c>
      <c r="H112" s="266">
        <f>H$116*1055.05585262*10000000</f>
        <v>10550558526.200001</v>
      </c>
      <c r="I112" s="266">
        <f>I$117*105480400*10000000</f>
        <v>1054804000000000</v>
      </c>
      <c r="J112" s="266">
        <f>J$118*1.3558179483314*10000000</f>
        <v>13558179.483313998</v>
      </c>
      <c r="K112" s="266">
        <f>K$119*4.1868*10000000</f>
        <v>41868000</v>
      </c>
      <c r="L112" s="267">
        <f>L$120*1000*4.1868*10000000</f>
        <v>41868000000</v>
      </c>
      <c r="M112" s="297" t="s">
        <v>902</v>
      </c>
    </row>
    <row r="113" spans="1:25" x14ac:dyDescent="0.2">
      <c r="B113" s="264" t="s">
        <v>903</v>
      </c>
      <c r="D113" s="266">
        <f>D$112/10000000</f>
        <v>9.9999999999999995E-8</v>
      </c>
      <c r="E113" s="270">
        <v>1</v>
      </c>
      <c r="F113" s="266">
        <f>F$114*3600</f>
        <v>3600</v>
      </c>
      <c r="G113" s="266">
        <f>G$115*1000*3600</f>
        <v>3600000</v>
      </c>
      <c r="H113" s="266">
        <f>H$116*1055.05585262</f>
        <v>1055.05585262</v>
      </c>
      <c r="I113" s="266">
        <f>I$117*105480400</f>
        <v>105480400</v>
      </c>
      <c r="J113" s="266">
        <f>J$118*1.3558179483314</f>
        <v>1.3558179483313999</v>
      </c>
      <c r="K113" s="266">
        <f>K$119*4.1868</f>
        <v>4.1867999999999999</v>
      </c>
      <c r="L113" s="267">
        <f>L$120*1000*4.1868</f>
        <v>4186.8</v>
      </c>
      <c r="M113" s="297" t="s">
        <v>903</v>
      </c>
      <c r="P113" s="316"/>
      <c r="Q113" s="316"/>
      <c r="R113" s="316"/>
      <c r="S113" s="316"/>
      <c r="T113" s="316"/>
      <c r="U113" s="316"/>
      <c r="V113" s="316"/>
      <c r="W113" s="316"/>
      <c r="X113" s="316"/>
      <c r="Y113" s="316"/>
    </row>
    <row r="114" spans="1:25" x14ac:dyDescent="0.2">
      <c r="B114" t="s">
        <v>904</v>
      </c>
      <c r="D114" s="320">
        <f>D$112/10000000/3600</f>
        <v>2.7777777777777777E-11</v>
      </c>
      <c r="E114" s="320">
        <f>E$113/3600</f>
        <v>2.7777777777777778E-4</v>
      </c>
      <c r="F114" s="270">
        <v>1</v>
      </c>
      <c r="G114" s="320">
        <f>G$115*1000</f>
        <v>1000</v>
      </c>
      <c r="H114" s="320">
        <f>H$116*1055.05585262/3600</f>
        <v>0.29307107017222223</v>
      </c>
      <c r="I114" s="320">
        <f>I$117*105480400/3600</f>
        <v>29300.111111111109</v>
      </c>
      <c r="J114" s="320">
        <f>J$118*1.3558179483314/3600</f>
        <v>3.7661609675872221E-4</v>
      </c>
      <c r="K114" s="320">
        <f>K$119*4.1868/3600</f>
        <v>1.163E-3</v>
      </c>
      <c r="L114" s="5">
        <f>L$120*1000*4.1868/3600</f>
        <v>1.163</v>
      </c>
      <c r="M114" s="298" t="s">
        <v>904</v>
      </c>
      <c r="P114" s="316"/>
      <c r="Q114" s="316"/>
      <c r="R114" s="316"/>
      <c r="S114" s="316"/>
      <c r="T114" s="316"/>
      <c r="U114" s="316"/>
      <c r="V114" s="316"/>
      <c r="W114" s="316"/>
      <c r="X114" s="316"/>
      <c r="Y114" s="316"/>
    </row>
    <row r="115" spans="1:25" ht="13.5" thickBot="1" x14ac:dyDescent="0.25">
      <c r="A115" s="277"/>
      <c r="B115" s="277" t="s">
        <v>905</v>
      </c>
      <c r="C115" s="277"/>
      <c r="D115" s="321">
        <f>D$112/10000000/3600/1000</f>
        <v>2.7777777777777778E-14</v>
      </c>
      <c r="E115" s="321">
        <f>E$113/3600/1000</f>
        <v>2.7777777777777776E-7</v>
      </c>
      <c r="F115" s="321">
        <f>F$114/1000</f>
        <v>1E-3</v>
      </c>
      <c r="G115" s="280">
        <v>1</v>
      </c>
      <c r="H115" s="321">
        <f>H$116*1055.05585262/3600/1000</f>
        <v>2.930710701722222E-4</v>
      </c>
      <c r="I115" s="321">
        <f>I$117*105480400/3600/1000</f>
        <v>29.300111111111111</v>
      </c>
      <c r="J115" s="321">
        <f>J$118*1.3558179483314/3600/1000</f>
        <v>3.7661609675872221E-7</v>
      </c>
      <c r="K115" s="321">
        <f>K$119*4.1868/3600/1000</f>
        <v>1.1629999999999999E-6</v>
      </c>
      <c r="L115" s="322">
        <f>L$120*1000*4.1868/3600/1000</f>
        <v>1.163E-3</v>
      </c>
      <c r="M115" s="301" t="s">
        <v>905</v>
      </c>
      <c r="P115" s="316"/>
      <c r="Q115" s="316"/>
      <c r="R115" s="316"/>
      <c r="S115" s="316"/>
      <c r="T115" s="316"/>
      <c r="U115" s="316"/>
      <c r="V115" s="316"/>
      <c r="W115" s="316"/>
      <c r="X115" s="316"/>
      <c r="Y115" s="316"/>
    </row>
    <row r="116" spans="1:25" x14ac:dyDescent="0.2">
      <c r="B116" s="264" t="s">
        <v>906</v>
      </c>
      <c r="D116" s="266">
        <f>D$112/10000000/1055.05585262</f>
        <v>9.4781712031331715E-11</v>
      </c>
      <c r="E116" s="266">
        <f>E$113/1055.05585262</f>
        <v>9.4781712031331725E-4</v>
      </c>
      <c r="F116" s="266">
        <f>F$114*3600/1055.05585262</f>
        <v>3.4121416331279417</v>
      </c>
      <c r="G116" s="266">
        <f>G$115*1000*3600/1055.05585262</f>
        <v>3412.141633127942</v>
      </c>
      <c r="H116" s="270">
        <v>1</v>
      </c>
      <c r="I116" s="266">
        <f>I$117*105480400/1055.05585262</f>
        <v>99976.128977496817</v>
      </c>
      <c r="J116" s="266">
        <f>J$118*1.3558179483314/1055.05585262</f>
        <v>1.2850674634565773E-3</v>
      </c>
      <c r="K116" s="266">
        <f>K$119*4.1868/1055.05585262</f>
        <v>3.9683207193277961E-3</v>
      </c>
      <c r="L116" s="267">
        <f>L$120*1000*4.1868/1055.05585262</f>
        <v>3.9683207193277967</v>
      </c>
      <c r="M116" s="297" t="s">
        <v>906</v>
      </c>
      <c r="P116" s="316"/>
      <c r="Q116" s="316"/>
      <c r="R116" s="316"/>
      <c r="S116" s="316"/>
      <c r="T116" s="316"/>
      <c r="U116" s="316"/>
      <c r="V116" s="316"/>
      <c r="W116" s="316"/>
      <c r="X116" s="316"/>
      <c r="Y116" s="316"/>
    </row>
    <row r="117" spans="1:25" x14ac:dyDescent="0.2">
      <c r="B117" s="264" t="s">
        <v>907</v>
      </c>
      <c r="D117" s="269">
        <f>D$112/10000000/105480400</f>
        <v>9.4804342797334858E-16</v>
      </c>
      <c r="E117" s="269">
        <f>E$113/105480400</f>
        <v>9.4804342797334867E-9</v>
      </c>
      <c r="F117" s="269">
        <f>F$114*3600/105480400</f>
        <v>3.4129563407040549E-5</v>
      </c>
      <c r="G117" s="269">
        <f>G$115*1000*3600/105480400</f>
        <v>3.4129563407040549E-2</v>
      </c>
      <c r="H117" s="266">
        <f>H$116*1055.05585262/105480400</f>
        <v>1.0002387672212088E-5</v>
      </c>
      <c r="I117" s="270">
        <v>1</v>
      </c>
      <c r="J117" s="266">
        <f>J$118*1.3558179483314/105480400</f>
        <v>1.2853742954438928E-8</v>
      </c>
      <c r="K117" s="266">
        <f>K$119*4.1868/105480400</f>
        <v>3.9692682242388161E-8</v>
      </c>
      <c r="L117" s="267">
        <f>L$120*1000*4.1868/105480400</f>
        <v>3.9692682242388159E-5</v>
      </c>
      <c r="M117" s="297" t="s">
        <v>907</v>
      </c>
      <c r="P117" s="316"/>
      <c r="Q117" s="316"/>
      <c r="R117" s="316"/>
      <c r="S117" s="316"/>
      <c r="T117" s="316"/>
      <c r="U117" s="316"/>
      <c r="V117" s="316"/>
      <c r="W117" s="316"/>
      <c r="X117" s="316"/>
      <c r="Y117" s="316"/>
    </row>
    <row r="118" spans="1:25" x14ac:dyDescent="0.2">
      <c r="B118" t="s">
        <v>908</v>
      </c>
      <c r="D118" s="320">
        <f>D$112/10000000/1.3558179483314</f>
        <v>7.3756214927726558E-8</v>
      </c>
      <c r="E118" s="320">
        <f>E$113/1.3558179483314</f>
        <v>0.7375621492772656</v>
      </c>
      <c r="F118" s="320">
        <f>F$114*3600/1.3558179483314</f>
        <v>2655.2237373981561</v>
      </c>
      <c r="G118" s="320">
        <f>G$115*1000*3600/1.3558179483314</f>
        <v>2655223.7373981564</v>
      </c>
      <c r="H118" s="320">
        <f>H$116*1055.05585262/1.3558179483314</f>
        <v>778.16926226596524</v>
      </c>
      <c r="I118" s="320">
        <f>I$117*105480400/1.3558179483314</f>
        <v>77798350.530625686</v>
      </c>
      <c r="J118" s="270">
        <v>1</v>
      </c>
      <c r="K118" s="320">
        <f>K$119*4.1868/1.3558179483314</f>
        <v>3.0880252065940557</v>
      </c>
      <c r="L118" s="5">
        <f>L$120*1000*4.1868/1.3558179483314</f>
        <v>3088.0252065940558</v>
      </c>
      <c r="M118" s="298" t="s">
        <v>908</v>
      </c>
      <c r="P118" s="316"/>
      <c r="Q118" s="316"/>
      <c r="R118" s="316"/>
      <c r="S118" s="316"/>
      <c r="T118" s="316"/>
      <c r="U118" s="316"/>
      <c r="V118" s="316"/>
      <c r="W118" s="316"/>
      <c r="X118" s="316"/>
      <c r="Y118" s="316"/>
    </row>
    <row r="119" spans="1:25" x14ac:dyDescent="0.2">
      <c r="B119" t="s">
        <v>909</v>
      </c>
      <c r="D119" s="320">
        <f>D$112/10000000/4.1868</f>
        <v>2.3884589662749594E-8</v>
      </c>
      <c r="E119" s="320">
        <f>E$113/4.1868</f>
        <v>0.23884589662749595</v>
      </c>
      <c r="F119" s="320">
        <f>F$114*3600/4.1868</f>
        <v>859.84522785898537</v>
      </c>
      <c r="G119" s="320">
        <f>G$115*1000*3600/4.1868</f>
        <v>859845.22785898542</v>
      </c>
      <c r="H119" s="320">
        <f>H$116*1055.05585262/4.1868</f>
        <v>251.99576111111111</v>
      </c>
      <c r="I119" s="320">
        <f>I$117*105480400/4.1868</f>
        <v>25193560.714626923</v>
      </c>
      <c r="J119" s="320">
        <f>J$118*1.3558179483314/4.1868</f>
        <v>0.32383155353286519</v>
      </c>
      <c r="K119" s="270">
        <v>1</v>
      </c>
      <c r="L119" s="5">
        <f>L$120*1000</f>
        <v>1000</v>
      </c>
      <c r="M119" s="298" t="s">
        <v>909</v>
      </c>
      <c r="P119" s="316"/>
      <c r="Q119" s="316"/>
      <c r="R119" s="316"/>
      <c r="S119" s="316"/>
      <c r="T119" s="316"/>
      <c r="U119" s="316"/>
      <c r="V119" s="316"/>
      <c r="W119" s="316"/>
      <c r="X119" s="316"/>
      <c r="Y119" s="316"/>
    </row>
    <row r="120" spans="1:25" s="80" customFormat="1" ht="13.5" thickBot="1" x14ac:dyDescent="0.25">
      <c r="A120" s="277"/>
      <c r="B120" s="276" t="s">
        <v>910</v>
      </c>
      <c r="C120" s="277"/>
      <c r="D120" s="279">
        <f>D$112/10000000/4.1868/1000</f>
        <v>2.3884589662749594E-11</v>
      </c>
      <c r="E120" s="279">
        <f>E$113/4.1868/1000</f>
        <v>2.3884589662749594E-4</v>
      </c>
      <c r="F120" s="279">
        <f>F$114*3600/4.1868/1000</f>
        <v>0.85984522785898532</v>
      </c>
      <c r="G120" s="279">
        <f>G$115*1000*3600/4.1868/1000</f>
        <v>859.84522785898548</v>
      </c>
      <c r="H120" s="279">
        <f>H$116*1055.05585262/4.1868/1000</f>
        <v>0.25199576111111111</v>
      </c>
      <c r="I120" s="279">
        <f>I$117*105480400/4.1868/1000</f>
        <v>25193.560714626925</v>
      </c>
      <c r="J120" s="279">
        <f>J$118*1.3558179483314/4.1868/1000</f>
        <v>3.2383155353286517E-4</v>
      </c>
      <c r="K120" s="279">
        <f>K$119/1000</f>
        <v>1E-3</v>
      </c>
      <c r="L120" s="289">
        <v>1</v>
      </c>
      <c r="M120" s="299" t="s">
        <v>910</v>
      </c>
      <c r="P120" s="319"/>
      <c r="Q120" s="319"/>
      <c r="R120" s="319"/>
      <c r="S120" s="319"/>
      <c r="T120" s="319"/>
      <c r="U120" s="319"/>
      <c r="V120" s="319"/>
      <c r="W120" s="319"/>
      <c r="X120" s="319"/>
      <c r="Y120" s="319"/>
    </row>
    <row r="121" spans="1:25" x14ac:dyDescent="0.2">
      <c r="D121" t="s">
        <v>912</v>
      </c>
    </row>
    <row r="122" spans="1:25" x14ac:dyDescent="0.2">
      <c r="D122" t="s">
        <v>913</v>
      </c>
    </row>
    <row r="124" spans="1:25" x14ac:dyDescent="0.2">
      <c r="D124" t="s">
        <v>914</v>
      </c>
    </row>
    <row r="125" spans="1:25" ht="13.5" thickBot="1" x14ac:dyDescent="0.25"/>
    <row r="126" spans="1:25" s="259" customFormat="1" ht="29.25" thickTop="1" thickBot="1" x14ac:dyDescent="0.4">
      <c r="A126" s="291"/>
      <c r="B126" s="292" t="s">
        <v>915</v>
      </c>
      <c r="C126" s="291"/>
      <c r="D126" s="293" t="s">
        <v>916</v>
      </c>
      <c r="E126" s="293" t="s">
        <v>917</v>
      </c>
      <c r="F126" s="293" t="s">
        <v>918</v>
      </c>
      <c r="G126" s="293" t="s">
        <v>919</v>
      </c>
      <c r="H126" s="294" t="s">
        <v>850</v>
      </c>
      <c r="I126" s="295" t="s">
        <v>915</v>
      </c>
      <c r="R126" s="296"/>
    </row>
    <row r="127" spans="1:25" s="80" customFormat="1" x14ac:dyDescent="0.2">
      <c r="B127" s="315" t="s">
        <v>920</v>
      </c>
      <c r="D127" s="270">
        <v>1</v>
      </c>
      <c r="E127" s="266">
        <f>E$128*16</f>
        <v>16</v>
      </c>
      <c r="F127" s="266">
        <f>F$129/4.4482216152605/100000*16</f>
        <v>3.5969430895953678E-5</v>
      </c>
      <c r="G127" s="266">
        <f>G$130/4.4482216152605*16</f>
        <v>3.596943089595368</v>
      </c>
      <c r="H127" s="267">
        <f>H$131*9.80665/4.4482216152605*16</f>
        <v>35.273961949580411</v>
      </c>
      <c r="I127" s="297" t="s">
        <v>920</v>
      </c>
    </row>
    <row r="128" spans="1:25" s="80" customFormat="1" x14ac:dyDescent="0.2">
      <c r="B128" s="315" t="s">
        <v>921</v>
      </c>
      <c r="D128" s="266">
        <f>D$127/16</f>
        <v>6.25E-2</v>
      </c>
      <c r="E128" s="270">
        <v>1</v>
      </c>
      <c r="F128" s="266">
        <f>F$129/4.4482216152605/100000</f>
        <v>2.2480894309971049E-6</v>
      </c>
      <c r="G128" s="266">
        <f>G$130/4.4482216152605</f>
        <v>0.2248089430997105</v>
      </c>
      <c r="H128" s="267">
        <f>H$131*9.80665/4.4482216152605</f>
        <v>2.2046226218487757</v>
      </c>
      <c r="I128" s="297" t="s">
        <v>921</v>
      </c>
      <c r="M128" s="316"/>
      <c r="N128" s="316"/>
      <c r="O128" s="316"/>
      <c r="P128" s="316"/>
      <c r="Q128" s="316"/>
      <c r="R128" s="316"/>
      <c r="S128" s="316"/>
      <c r="T128" s="316"/>
    </row>
    <row r="129" spans="1:29" s="80" customFormat="1" x14ac:dyDescent="0.2">
      <c r="B129" s="80" t="s">
        <v>922</v>
      </c>
      <c r="D129" s="320">
        <f>D$127/16*4.4482216152605*100000</f>
        <v>27801.385095378122</v>
      </c>
      <c r="E129" s="320">
        <f>E$128*4.4482216152605*100000</f>
        <v>444822.16152604995</v>
      </c>
      <c r="F129" s="270">
        <v>1</v>
      </c>
      <c r="G129" s="320">
        <f>G$130*100000</f>
        <v>100000</v>
      </c>
      <c r="H129" s="5">
        <f>H$131*9.80665*100000</f>
        <v>980665</v>
      </c>
      <c r="I129" s="298" t="s">
        <v>922</v>
      </c>
      <c r="M129" s="316"/>
      <c r="N129" s="316"/>
      <c r="O129" s="316"/>
      <c r="P129" s="316"/>
      <c r="Q129" s="316"/>
      <c r="R129" s="316"/>
      <c r="S129" s="316"/>
      <c r="T129" s="316"/>
    </row>
    <row r="130" spans="1:29" s="80" customFormat="1" x14ac:dyDescent="0.2">
      <c r="B130" s="80" t="s">
        <v>923</v>
      </c>
      <c r="D130" s="320">
        <f>D$127/16*4.4482216152605</f>
        <v>0.27801385095378123</v>
      </c>
      <c r="E130" s="320">
        <f>E$128*4.4482216152605</f>
        <v>4.4482216152604996</v>
      </c>
      <c r="F130" s="320">
        <f>F$129/100000</f>
        <v>1.0000000000000001E-5</v>
      </c>
      <c r="G130" s="270">
        <v>1</v>
      </c>
      <c r="H130" s="5">
        <f>H$131*9.80665</f>
        <v>9.8066499999999994</v>
      </c>
      <c r="I130" s="298" t="s">
        <v>923</v>
      </c>
      <c r="M130" s="316"/>
      <c r="N130" s="316"/>
      <c r="O130" s="316"/>
      <c r="P130" s="316"/>
      <c r="Q130" s="316"/>
      <c r="R130" s="316"/>
      <c r="S130" s="316"/>
      <c r="T130" s="316"/>
    </row>
    <row r="131" spans="1:29" s="80" customFormat="1" ht="13.5" thickBot="1" x14ac:dyDescent="0.25">
      <c r="A131" s="277"/>
      <c r="B131" s="276" t="s">
        <v>924</v>
      </c>
      <c r="C131" s="277"/>
      <c r="D131" s="279">
        <f>D$127/16*4.4482216152605/9.80665</f>
        <v>2.8349523124999998E-2</v>
      </c>
      <c r="E131" s="279">
        <f>E$128*4.4482216152605/9.80665</f>
        <v>0.45359236999999997</v>
      </c>
      <c r="F131" s="279">
        <f>F$129/100000/9.80665</f>
        <v>1.0197162129779284E-6</v>
      </c>
      <c r="G131" s="279">
        <f>G$130/9.80665</f>
        <v>0.10197162129779283</v>
      </c>
      <c r="H131" s="289">
        <v>1</v>
      </c>
      <c r="I131" s="299" t="s">
        <v>924</v>
      </c>
      <c r="M131" s="319"/>
      <c r="N131" s="319"/>
      <c r="O131" s="319"/>
      <c r="P131" s="319"/>
      <c r="Q131" s="319"/>
      <c r="R131" s="319"/>
      <c r="S131" s="319"/>
      <c r="T131" s="319"/>
    </row>
    <row r="132" spans="1:29" x14ac:dyDescent="0.2">
      <c r="D132" t="s">
        <v>925</v>
      </c>
    </row>
    <row r="134" spans="1:29" ht="13.5" thickBot="1" x14ac:dyDescent="0.25"/>
    <row r="135" spans="1:29" s="259" customFormat="1" ht="29.25" thickTop="1" thickBot="1" x14ac:dyDescent="0.4">
      <c r="A135" s="291"/>
      <c r="B135" s="292" t="s">
        <v>926</v>
      </c>
      <c r="C135" s="291"/>
      <c r="D135" s="293" t="s">
        <v>927</v>
      </c>
      <c r="E135" s="293" t="s">
        <v>928</v>
      </c>
      <c r="F135" s="293" t="s">
        <v>929</v>
      </c>
      <c r="R135" s="296"/>
    </row>
    <row r="136" spans="1:29" x14ac:dyDescent="0.2">
      <c r="B136" t="s">
        <v>930</v>
      </c>
      <c r="D136" s="270">
        <v>0</v>
      </c>
      <c r="E136" s="320">
        <f>E137+273.16</f>
        <v>273.16000000000003</v>
      </c>
      <c r="F136" s="272">
        <f>F137+273.16</f>
        <v>273.16000000000003</v>
      </c>
    </row>
    <row r="137" spans="1:29" x14ac:dyDescent="0.2">
      <c r="B137" t="s">
        <v>931</v>
      </c>
      <c r="D137" s="272">
        <f>D136-273.16</f>
        <v>-273.16000000000003</v>
      </c>
      <c r="E137" s="270">
        <v>0</v>
      </c>
      <c r="F137" s="272">
        <f>(F138-32)/9*5</f>
        <v>0</v>
      </c>
    </row>
    <row r="138" spans="1:29" ht="13.5" thickBot="1" x14ac:dyDescent="0.25">
      <c r="A138" s="277"/>
      <c r="B138" s="277" t="s">
        <v>932</v>
      </c>
      <c r="C138" s="277"/>
      <c r="D138" s="286">
        <f>(D136-273.16)/5*9+32</f>
        <v>-459.68800000000005</v>
      </c>
      <c r="E138" s="286">
        <f>E137/5*9+32</f>
        <v>32</v>
      </c>
      <c r="F138" s="280">
        <v>32</v>
      </c>
    </row>
    <row r="139" spans="1:29" x14ac:dyDescent="0.2">
      <c r="D139" s="9"/>
      <c r="E139" s="9"/>
    </row>
    <row r="140" spans="1:29" x14ac:dyDescent="0.2">
      <c r="D140" t="s">
        <v>925</v>
      </c>
    </row>
    <row r="141" spans="1:29" ht="13.5" thickBot="1" x14ac:dyDescent="0.25"/>
    <row r="142" spans="1:29" s="259" customFormat="1" ht="28.5" thickTop="1" x14ac:dyDescent="0.35">
      <c r="B142" s="260" t="s">
        <v>933</v>
      </c>
      <c r="D142" s="261" t="s">
        <v>934</v>
      </c>
      <c r="E142" s="261" t="s">
        <v>935</v>
      </c>
      <c r="F142" s="261" t="s">
        <v>936</v>
      </c>
      <c r="G142" s="261" t="s">
        <v>937</v>
      </c>
      <c r="H142" s="261" t="s">
        <v>938</v>
      </c>
      <c r="I142" s="261" t="s">
        <v>939</v>
      </c>
      <c r="J142" s="261" t="s">
        <v>940</v>
      </c>
      <c r="K142" s="261" t="s">
        <v>941</v>
      </c>
      <c r="L142" s="261" t="s">
        <v>942</v>
      </c>
      <c r="M142" s="262" t="s">
        <v>943</v>
      </c>
      <c r="N142" s="263" t="s">
        <v>933</v>
      </c>
      <c r="R142" s="296"/>
    </row>
    <row r="143" spans="1:29" x14ac:dyDescent="0.2">
      <c r="A143" s="871" t="s">
        <v>738</v>
      </c>
      <c r="B143" s="264" t="s">
        <v>944</v>
      </c>
      <c r="D143" s="270">
        <v>1</v>
      </c>
      <c r="E143" s="266">
        <f>E$144*12</f>
        <v>12</v>
      </c>
      <c r="F143" s="266">
        <f>F$145*5280*12</f>
        <v>63360</v>
      </c>
      <c r="G143" s="266">
        <f>G$146/3600*5280*12</f>
        <v>17.599999999999998</v>
      </c>
      <c r="H143" s="266">
        <f>H$147*6076/3600*12</f>
        <v>20.253333333333334</v>
      </c>
      <c r="I143" s="266">
        <f>I$148/8/24/14/3600*5280*12</f>
        <v>6.5476190476190469E-3</v>
      </c>
      <c r="J143" s="266">
        <f>J$149/25.4*1000</f>
        <v>39.370078740157481</v>
      </c>
      <c r="K143" s="266">
        <f>K$150*1000*1000/25.4</f>
        <v>39370.078740157485</v>
      </c>
      <c r="L143" s="266">
        <f>L$151/3600*1000*1000/25.4</f>
        <v>10.936132983377078</v>
      </c>
      <c r="M143" s="267">
        <f>M$152*299792458*1000/25.4</f>
        <v>11802852677.165356</v>
      </c>
      <c r="N143" s="297" t="s">
        <v>944</v>
      </c>
      <c r="Q143" s="316"/>
      <c r="R143" s="316"/>
    </row>
    <row r="144" spans="1:29" x14ac:dyDescent="0.2">
      <c r="A144" s="871"/>
      <c r="B144" s="264" t="s">
        <v>945</v>
      </c>
      <c r="D144" s="266">
        <f>D$143/12</f>
        <v>8.3333333333333329E-2</v>
      </c>
      <c r="E144" s="270">
        <v>1</v>
      </c>
      <c r="F144" s="266">
        <f>F$145*5280</f>
        <v>5280</v>
      </c>
      <c r="G144" s="266">
        <f>G$146/3600*5280</f>
        <v>1.4666666666666666</v>
      </c>
      <c r="H144" s="266">
        <f>H$147*6076/3600</f>
        <v>1.6877777777777778</v>
      </c>
      <c r="I144" s="266">
        <f>I$148/8/24/14/3600*5280</f>
        <v>5.4563492063492054E-4</v>
      </c>
      <c r="J144" s="266">
        <f>J$149/25.4*1000/12</f>
        <v>3.2808398950131235</v>
      </c>
      <c r="K144" s="266">
        <f>K$150*1000*1000/25.4/12</f>
        <v>3280.8398950131236</v>
      </c>
      <c r="L144" s="266">
        <f>L$151/3600*1000*1000/25.4/12</f>
        <v>0.91134441528142318</v>
      </c>
      <c r="M144" s="267">
        <f>M$152*299792458*1000/25.4/12</f>
        <v>983571056.43044627</v>
      </c>
      <c r="N144" s="297" t="s">
        <v>946</v>
      </c>
      <c r="Q144" s="316"/>
      <c r="R144" s="316"/>
      <c r="S144" s="316"/>
      <c r="T144" s="316"/>
      <c r="U144" s="316"/>
      <c r="V144" s="316"/>
      <c r="W144" s="316"/>
      <c r="X144" s="316"/>
      <c r="Y144" s="316"/>
      <c r="Z144" s="316"/>
      <c r="AA144" s="316"/>
      <c r="AB144" s="316"/>
      <c r="AC144" s="316"/>
    </row>
    <row r="145" spans="1:29" x14ac:dyDescent="0.2">
      <c r="A145" s="871"/>
      <c r="B145" t="s">
        <v>947</v>
      </c>
      <c r="D145" s="320">
        <f>D$143/12/5280</f>
        <v>1.5782828282828283E-5</v>
      </c>
      <c r="E145" s="320">
        <f>E$144/5280</f>
        <v>1.8939393939393939E-4</v>
      </c>
      <c r="F145" s="270">
        <v>1</v>
      </c>
      <c r="G145" s="320">
        <f>G$146/3600</f>
        <v>2.7777777777777778E-4</v>
      </c>
      <c r="H145" s="320">
        <f>H$147*6076/5280/3600</f>
        <v>3.1965488215488218E-4</v>
      </c>
      <c r="I145" s="320">
        <f>I$148/8/24/14/3600</f>
        <v>1.0333994708994708E-7</v>
      </c>
      <c r="J145" s="320">
        <f>J$149/25.4*1000/12/5280</f>
        <v>6.2137119223733403E-4</v>
      </c>
      <c r="K145" s="320">
        <f>K$150*1000*1000/25.4/12/5280</f>
        <v>0.62137119223733406</v>
      </c>
      <c r="L145" s="320">
        <f>L$151/3600*1000*1000/25.4/12/5280</f>
        <v>1.7260310895481499E-4</v>
      </c>
      <c r="M145" s="5">
        <f>M$152*299792458*1000/25.4/12/5280</f>
        <v>186282.39705122088</v>
      </c>
      <c r="N145" s="298" t="s">
        <v>947</v>
      </c>
      <c r="Q145" s="316"/>
      <c r="R145" s="316"/>
      <c r="S145" s="316"/>
      <c r="T145" s="316"/>
      <c r="U145" s="316"/>
      <c r="V145" s="316"/>
      <c r="W145" s="316"/>
      <c r="X145" s="316"/>
      <c r="Y145" s="316"/>
      <c r="Z145" s="316"/>
      <c r="AA145" s="316"/>
      <c r="AB145" s="316"/>
      <c r="AC145" s="316"/>
    </row>
    <row r="146" spans="1:29" x14ac:dyDescent="0.2">
      <c r="A146" s="871"/>
      <c r="B146" t="s">
        <v>948</v>
      </c>
      <c r="D146" s="320">
        <f>D$143/12/5280*3600</f>
        <v>5.6818181818181816E-2</v>
      </c>
      <c r="E146" s="320">
        <f>E$144/5280*3600</f>
        <v>0.68181818181818177</v>
      </c>
      <c r="F146" s="320">
        <f>F$145*3600</f>
        <v>3600</v>
      </c>
      <c r="G146" s="270">
        <v>1</v>
      </c>
      <c r="H146" s="320">
        <f>H$147*6076/5280</f>
        <v>1.1507575757575759</v>
      </c>
      <c r="I146" s="320">
        <f>I$148/8/24/14</f>
        <v>3.720238095238095E-4</v>
      </c>
      <c r="J146" s="320">
        <f>J$149/25.4*1000/12/5280*3600</f>
        <v>2.2369362920544025</v>
      </c>
      <c r="K146" s="320">
        <f>K$150*1000*1000/25.4/12/5280*3600</f>
        <v>2236.9362920544027</v>
      </c>
      <c r="L146" s="320">
        <f>L$151*1000*1000/25.4/12/5280</f>
        <v>0.62137119223733406</v>
      </c>
      <c r="M146" s="5">
        <f>M$152*299792458*1000/25.4/12/5280*3600</f>
        <v>670616629.38439512</v>
      </c>
      <c r="N146" s="298" t="s">
        <v>948</v>
      </c>
      <c r="Q146" s="316"/>
      <c r="R146" s="316"/>
      <c r="S146" s="316"/>
      <c r="T146" s="316"/>
      <c r="U146" s="316"/>
      <c r="V146" s="316"/>
      <c r="W146" s="316"/>
      <c r="X146" s="316"/>
      <c r="Y146" s="316"/>
      <c r="Z146" s="316"/>
      <c r="AA146" s="316"/>
      <c r="AB146" s="316"/>
      <c r="AC146" s="316"/>
    </row>
    <row r="147" spans="1:29" x14ac:dyDescent="0.2">
      <c r="A147" s="871"/>
      <c r="B147" s="264" t="s">
        <v>949</v>
      </c>
      <c r="D147" s="266">
        <f>D$143/12/6076*3600</f>
        <v>4.9374588545095452E-2</v>
      </c>
      <c r="E147" s="266">
        <f>E$144/6076*3600</f>
        <v>0.59249506254114548</v>
      </c>
      <c r="F147" s="266">
        <f>F$145*5280/6076*3600</f>
        <v>3128.373930217248</v>
      </c>
      <c r="G147" s="266">
        <f>G$146*5280/6076</f>
        <v>0.86899275839368006</v>
      </c>
      <c r="H147" s="270">
        <v>1</v>
      </c>
      <c r="I147" s="266">
        <f>I$148/8/24/14*5280/6076</f>
        <v>3.2328599642622027E-4</v>
      </c>
      <c r="J147" s="266">
        <f>J$149/25.4*1000/12/6076*3600</f>
        <v>1.9438814387832859</v>
      </c>
      <c r="K147" s="266">
        <f>K$150*1000*1000/25.4/12/6076*3600</f>
        <v>1943.8814387832858</v>
      </c>
      <c r="L147" s="266">
        <f>L$151*1000*1000/25.4/12/6076</f>
        <v>0.53996706632869051</v>
      </c>
      <c r="M147" s="267">
        <f>M$152*299792458*1000/25.4/12/6076*3600</f>
        <v>582760994.59341776</v>
      </c>
      <c r="N147" s="297" t="s">
        <v>949</v>
      </c>
      <c r="Q147" s="316"/>
      <c r="R147" s="316"/>
      <c r="S147" s="316"/>
      <c r="T147" s="316"/>
      <c r="U147" s="316"/>
      <c r="V147" s="316"/>
      <c r="W147" s="316"/>
      <c r="X147" s="316"/>
      <c r="Y147" s="316"/>
      <c r="Z147" s="316"/>
      <c r="AA147" s="316"/>
      <c r="AB147" s="316"/>
      <c r="AC147" s="316"/>
    </row>
    <row r="148" spans="1:29" s="80" customFormat="1" ht="13.5" thickBot="1" x14ac:dyDescent="0.25">
      <c r="A148" s="861"/>
      <c r="B148" s="276" t="s">
        <v>950</v>
      </c>
      <c r="C148" s="277"/>
      <c r="D148" s="279">
        <f>D$143/12/5280*3600*8*24*14</f>
        <v>152.72727272727272</v>
      </c>
      <c r="E148" s="279">
        <f>E$144/5280*3600*8*24*14</f>
        <v>1832.7272727272727</v>
      </c>
      <c r="F148" s="279">
        <f>F$145*3600*8*24*14</f>
        <v>9676800</v>
      </c>
      <c r="G148" s="279">
        <f>G$146*8*24*14</f>
        <v>2688</v>
      </c>
      <c r="H148" s="279">
        <f>H$147*6076/5280*8*24*14</f>
        <v>3093.2363636363639</v>
      </c>
      <c r="I148" s="280">
        <v>1</v>
      </c>
      <c r="J148" s="279">
        <f>J$149/25.4*1000/12/5280*3600*8*24*14</f>
        <v>6012.8847530422345</v>
      </c>
      <c r="K148" s="279">
        <f>K$150*1000*1000/25.4/12/5280*3600*8*24*14</f>
        <v>6012884.7530422341</v>
      </c>
      <c r="L148" s="279">
        <f>L$151/3600*1000*1000/25.4/12/5280*3600*8*24*14</f>
        <v>1670.2457647339536</v>
      </c>
      <c r="M148" s="281">
        <f>M$152*299792458*1000/25.4/12/5280*3600*8*24*14</f>
        <v>1802617499785.2542</v>
      </c>
      <c r="N148" s="299" t="s">
        <v>950</v>
      </c>
      <c r="Q148" s="319"/>
      <c r="R148" s="319"/>
      <c r="S148" s="319"/>
      <c r="T148" s="319"/>
      <c r="U148" s="319"/>
      <c r="V148" s="319"/>
      <c r="W148" s="319"/>
      <c r="X148" s="319"/>
      <c r="Y148" s="319"/>
      <c r="Z148" s="319"/>
      <c r="AA148" s="319"/>
      <c r="AB148" s="319"/>
      <c r="AC148" s="319"/>
    </row>
    <row r="149" spans="1:29" x14ac:dyDescent="0.2">
      <c r="A149" s="867" t="s">
        <v>743</v>
      </c>
      <c r="B149" t="s">
        <v>951</v>
      </c>
      <c r="D149" s="320">
        <f>D$143*25.4/1000</f>
        <v>2.5399999999999999E-2</v>
      </c>
      <c r="E149" s="320">
        <f>E$144*12*25.4/1000</f>
        <v>0.30479999999999996</v>
      </c>
      <c r="F149" s="320">
        <f>F$145*5280*12*25.4/1000</f>
        <v>1609.3440000000001</v>
      </c>
      <c r="G149" s="320">
        <f>G$146/3600*5280*12*25.4/1000</f>
        <v>0.44703999999999988</v>
      </c>
      <c r="H149" s="320">
        <f>H$147*6076/3600*12*25.4/1000</f>
        <v>0.51443466666666671</v>
      </c>
      <c r="I149" s="320">
        <f>I$148/8/24/14/3600*5280*12*25.4/1000</f>
        <v>1.6630952380952379E-4</v>
      </c>
      <c r="J149" s="270">
        <v>1</v>
      </c>
      <c r="K149" s="320">
        <f>K$150*1000</f>
        <v>1000</v>
      </c>
      <c r="L149" s="320">
        <f>L$151/3600*1000</f>
        <v>0.27777777777777779</v>
      </c>
      <c r="M149" s="5">
        <f>M$152*299792458</f>
        <v>299792458</v>
      </c>
      <c r="N149" s="298" t="s">
        <v>951</v>
      </c>
      <c r="Q149" s="316"/>
      <c r="R149" s="316"/>
      <c r="S149" s="316"/>
      <c r="T149" s="316"/>
      <c r="U149" s="316"/>
      <c r="V149" s="316"/>
      <c r="W149" s="316"/>
      <c r="X149" s="316"/>
      <c r="Y149" s="316"/>
      <c r="Z149" s="316"/>
    </row>
    <row r="150" spans="1:29" x14ac:dyDescent="0.2">
      <c r="A150" s="868"/>
      <c r="B150" t="s">
        <v>952</v>
      </c>
      <c r="D150" s="320">
        <f>D$143*25.4/1000/1000</f>
        <v>2.5399999999999997E-5</v>
      </c>
      <c r="E150" s="320">
        <f>E$144*12*25.4/1000/1000</f>
        <v>3.0479999999999998E-4</v>
      </c>
      <c r="F150" s="320">
        <f>F$145*5280*12*25.4/1000/1000</f>
        <v>1.6093440000000001</v>
      </c>
      <c r="G150" s="320">
        <f>G$146/3600*5280*12*25.4/1000/1000</f>
        <v>4.4703999999999989E-4</v>
      </c>
      <c r="H150" s="320">
        <f>H$147*6076/3600*12*25.4/1000/1000</f>
        <v>5.1443466666666667E-4</v>
      </c>
      <c r="I150" s="320">
        <f>I$148/8/24/14/3600*5280*12*25.4/1000/1000</f>
        <v>1.6630952380952379E-7</v>
      </c>
      <c r="J150" s="320">
        <f>J$149/1000</f>
        <v>1E-3</v>
      </c>
      <c r="K150" s="270">
        <v>1</v>
      </c>
      <c r="L150" s="320">
        <f>L$151/3600</f>
        <v>2.7777777777777778E-4</v>
      </c>
      <c r="M150" s="5">
        <f>M$152*299792458/1000</f>
        <v>299792.45799999998</v>
      </c>
      <c r="N150" s="298" t="s">
        <v>952</v>
      </c>
      <c r="Q150" s="316"/>
      <c r="R150" s="316"/>
      <c r="S150" s="316"/>
      <c r="T150" s="316"/>
      <c r="U150" s="316"/>
      <c r="V150" s="316"/>
      <c r="W150" s="316"/>
      <c r="X150" s="316"/>
      <c r="Y150" s="316"/>
      <c r="Z150" s="316"/>
    </row>
    <row r="151" spans="1:29" s="80" customFormat="1" ht="13.5" thickBot="1" x14ac:dyDescent="0.25">
      <c r="A151" s="869"/>
      <c r="B151" s="276" t="s">
        <v>953</v>
      </c>
      <c r="C151" s="277"/>
      <c r="D151" s="279">
        <f>D$143*25.4/1000/1000*3600</f>
        <v>9.1439999999999994E-2</v>
      </c>
      <c r="E151" s="279">
        <f>E$144*12*25.4/1000/1000*3600</f>
        <v>1.09728</v>
      </c>
      <c r="F151" s="279">
        <f>F$145*5280*12*25.4/1000/1000*3600</f>
        <v>5793.6384000000007</v>
      </c>
      <c r="G151" s="279">
        <f>G$146*5280*12*25.4/1000/1000</f>
        <v>1.6093440000000001</v>
      </c>
      <c r="H151" s="279">
        <f>H$147*6076*12*25.4/1000/1000</f>
        <v>1.8519647999999997</v>
      </c>
      <c r="I151" s="279">
        <f>I$148/8/24/14*5280*12*25.4/1000/1000</f>
        <v>5.9871428571428565E-4</v>
      </c>
      <c r="J151" s="279">
        <f>J$149/1000*3600</f>
        <v>3.6</v>
      </c>
      <c r="K151" s="279">
        <f>K$150*3600</f>
        <v>3600</v>
      </c>
      <c r="L151" s="280">
        <v>1</v>
      </c>
      <c r="M151" s="281">
        <f>M$152*299792458/1000*3600</f>
        <v>1079252848.8</v>
      </c>
      <c r="N151" s="299" t="s">
        <v>953</v>
      </c>
      <c r="Q151" s="319"/>
      <c r="R151" s="319"/>
      <c r="S151" s="319"/>
      <c r="T151" s="319"/>
      <c r="U151" s="319"/>
      <c r="V151" s="319"/>
      <c r="W151" s="319"/>
      <c r="X151" s="319"/>
      <c r="Y151" s="319"/>
      <c r="Z151" s="319"/>
    </row>
    <row r="152" spans="1:29" ht="13.5" thickBot="1" x14ac:dyDescent="0.25">
      <c r="A152" s="277"/>
      <c r="B152" s="276" t="s">
        <v>954</v>
      </c>
      <c r="C152" s="277"/>
      <c r="D152" s="279">
        <f>D$143*25.4/1000/299792458</f>
        <v>8.4725280180330612E-11</v>
      </c>
      <c r="E152" s="279">
        <f>E$144*12*25.4/1000/299792458</f>
        <v>1.0167033621639672E-9</v>
      </c>
      <c r="F152" s="279">
        <f>F$145*5280*12*25.4/1000/299792458</f>
        <v>5.3681937522257486E-6</v>
      </c>
      <c r="G152" s="279">
        <f>G$146/3600*5280*12*25.4/1000/299792458</f>
        <v>1.4911649311738186E-9</v>
      </c>
      <c r="H152" s="279">
        <f>H$147*6076/3600*12*25.4/1000/299792458</f>
        <v>1.7159693412522962E-9</v>
      </c>
      <c r="I152" s="279">
        <f>I$148/8/24/14/3600*5280*12*25.4/1000/299792458</f>
        <v>5.5474885832359324E-13</v>
      </c>
      <c r="J152" s="279">
        <f>J$149/299792458</f>
        <v>3.3356409519815204E-9</v>
      </c>
      <c r="K152" s="279">
        <f>K$150*1000/299792458</f>
        <v>3.3356409519815205E-6</v>
      </c>
      <c r="L152" s="279">
        <f>L$151/3600*1000/299792458</f>
        <v>9.2656693110597792E-10</v>
      </c>
      <c r="M152" s="289">
        <v>1</v>
      </c>
      <c r="N152" s="299" t="s">
        <v>954</v>
      </c>
      <c r="Q152" s="316"/>
      <c r="R152" s="316"/>
      <c r="S152" s="316"/>
      <c r="T152" s="316"/>
      <c r="U152" s="316"/>
      <c r="V152" s="316"/>
      <c r="W152" s="316"/>
      <c r="X152" s="316"/>
      <c r="Y152" s="316"/>
      <c r="Z152" s="316"/>
    </row>
    <row r="154" spans="1:29" x14ac:dyDescent="0.2">
      <c r="D154" t="s">
        <v>925</v>
      </c>
    </row>
    <row r="155" spans="1:29" ht="13.5" thickBot="1" x14ac:dyDescent="0.25"/>
    <row r="156" spans="1:29" s="259" customFormat="1" ht="29.25" thickTop="1" thickBot="1" x14ac:dyDescent="0.4">
      <c r="B156" s="292" t="s">
        <v>955</v>
      </c>
      <c r="C156" s="291"/>
      <c r="D156" s="291"/>
      <c r="E156" s="293" t="s">
        <v>956</v>
      </c>
      <c r="F156" s="293" t="s">
        <v>957</v>
      </c>
      <c r="G156" s="293" t="s">
        <v>958</v>
      </c>
      <c r="H156" s="293" t="s">
        <v>959</v>
      </c>
      <c r="I156" s="293" t="s">
        <v>960</v>
      </c>
      <c r="J156" s="293" t="s">
        <v>961</v>
      </c>
      <c r="K156" s="294" t="s">
        <v>962</v>
      </c>
      <c r="L156" s="308" t="s">
        <v>955</v>
      </c>
      <c r="M156" s="323"/>
      <c r="R156" s="296"/>
    </row>
    <row r="157" spans="1:29" x14ac:dyDescent="0.2">
      <c r="A157" s="864" t="s">
        <v>963</v>
      </c>
      <c r="B157" s="264" t="s">
        <v>964</v>
      </c>
      <c r="C157" s="264"/>
      <c r="D157" s="264"/>
      <c r="E157" s="270">
        <v>1</v>
      </c>
      <c r="F157" s="266">
        <f>F$158*12</f>
        <v>12</v>
      </c>
      <c r="G157" s="266">
        <f>G$159/3600*5280*12</f>
        <v>17.599999999999998</v>
      </c>
      <c r="H157" s="266">
        <f>H$160*1000/25.4</f>
        <v>39.370078740157481</v>
      </c>
      <c r="I157" s="266">
        <f>I$161*1000*1000/25.4</f>
        <v>39370.078740157485</v>
      </c>
      <c r="J157" s="266">
        <f>J$162/3600*1000*1000/25.4</f>
        <v>10.936132983377078</v>
      </c>
      <c r="K157" s="267">
        <f>K$163*9.80665*1000/25.4</f>
        <v>386.08858267716533</v>
      </c>
      <c r="L157" s="324" t="s">
        <v>964</v>
      </c>
      <c r="M157" s="6"/>
    </row>
    <row r="158" spans="1:29" x14ac:dyDescent="0.2">
      <c r="A158" s="865"/>
      <c r="B158" s="264" t="s">
        <v>965</v>
      </c>
      <c r="C158" s="264"/>
      <c r="D158" s="264"/>
      <c r="E158" s="266">
        <f>E$157/12</f>
        <v>8.3333333333333329E-2</v>
      </c>
      <c r="F158" s="270">
        <v>1</v>
      </c>
      <c r="G158" s="266">
        <f>G$159/3600*5280</f>
        <v>1.4666666666666666</v>
      </c>
      <c r="H158" s="266">
        <f>H$160*1000/25.4/12</f>
        <v>3.2808398950131235</v>
      </c>
      <c r="I158" s="266">
        <f>I$161*1000*1000/25.4/12</f>
        <v>3280.8398950131236</v>
      </c>
      <c r="J158" s="266">
        <f>J$162/3600*1000*1000/25.4/12</f>
        <v>0.91134441528142318</v>
      </c>
      <c r="K158" s="267">
        <f>K$163*9.80665*1000/25.4/12</f>
        <v>32.174048556430442</v>
      </c>
      <c r="L158" s="324" t="s">
        <v>965</v>
      </c>
      <c r="M158" s="6"/>
      <c r="Q158" s="316"/>
      <c r="R158" s="316"/>
      <c r="S158" s="316"/>
      <c r="T158" s="316"/>
      <c r="U158" s="316"/>
      <c r="V158" s="316"/>
      <c r="W158" s="316"/>
      <c r="X158" s="316"/>
      <c r="Y158" s="316"/>
    </row>
    <row r="159" spans="1:29" ht="13.5" thickBot="1" x14ac:dyDescent="0.25">
      <c r="A159" s="866"/>
      <c r="B159" s="277" t="s">
        <v>966</v>
      </c>
      <c r="C159" s="277"/>
      <c r="D159" s="277"/>
      <c r="E159" s="321">
        <f>E$157/12/5280*3600</f>
        <v>5.6818181818181816E-2</v>
      </c>
      <c r="F159" s="321">
        <f>F$158/5280*3600</f>
        <v>0.68181818181818177</v>
      </c>
      <c r="G159" s="280">
        <v>1</v>
      </c>
      <c r="H159" s="321">
        <f>H$160*1000/25.4/12/5280*3600</f>
        <v>2.2369362920544025</v>
      </c>
      <c r="I159" s="321">
        <f>I$161*1000*1000/25.4/12/5280*3600</f>
        <v>2236.9362920544027</v>
      </c>
      <c r="J159" s="321">
        <f>J$162*1000*1000/25.4/12/5280</f>
        <v>0.62137119223733406</v>
      </c>
      <c r="K159" s="322">
        <f>K$163*9.80665*1000/25.4/12/5280*3600</f>
        <v>21.936851288475303</v>
      </c>
      <c r="L159" s="325" t="s">
        <v>966</v>
      </c>
      <c r="M159" s="326"/>
      <c r="R159" s="316"/>
      <c r="S159" s="316"/>
      <c r="T159" s="316"/>
      <c r="U159" s="316"/>
      <c r="V159" s="316"/>
      <c r="W159" s="316"/>
      <c r="X159" s="316"/>
      <c r="Y159" s="316"/>
    </row>
    <row r="160" spans="1:29" x14ac:dyDescent="0.2">
      <c r="A160" s="867" t="s">
        <v>743</v>
      </c>
      <c r="B160" t="s">
        <v>967</v>
      </c>
      <c r="E160" s="320">
        <f>E$157*25.4/1000</f>
        <v>2.5399999999999999E-2</v>
      </c>
      <c r="F160" s="320">
        <f>F$158*12*25.4/1000</f>
        <v>0.30479999999999996</v>
      </c>
      <c r="G160" s="320">
        <f>G$159/3600*5280*12*25.4/1000</f>
        <v>0.44703999999999988</v>
      </c>
      <c r="H160" s="270">
        <v>1</v>
      </c>
      <c r="I160" s="320">
        <f>I$161*1000</f>
        <v>1000</v>
      </c>
      <c r="J160" s="320">
        <f>J$162/3600*1000</f>
        <v>0.27777777777777779</v>
      </c>
      <c r="K160" s="5">
        <f>K$163*9.80665</f>
        <v>9.8066499999999994</v>
      </c>
      <c r="L160" s="327" t="s">
        <v>967</v>
      </c>
      <c r="M160" s="6"/>
      <c r="R160" s="316"/>
      <c r="S160" s="316"/>
      <c r="T160" s="316"/>
      <c r="U160" s="316"/>
      <c r="V160" s="316"/>
      <c r="W160" s="316"/>
      <c r="X160" s="316"/>
      <c r="Y160" s="316"/>
    </row>
    <row r="161" spans="1:25" x14ac:dyDescent="0.2">
      <c r="A161" s="868"/>
      <c r="B161" s="264" t="s">
        <v>968</v>
      </c>
      <c r="C161" s="264"/>
      <c r="D161" s="264"/>
      <c r="E161" s="266">
        <f>E$157*25.4/1000/1000</f>
        <v>2.5399999999999997E-5</v>
      </c>
      <c r="F161" s="266">
        <f>F$158*12*25.4/1000/1000</f>
        <v>3.0479999999999998E-4</v>
      </c>
      <c r="G161" s="266">
        <f>G$159/3600*5280*12*25.4/1000/1000</f>
        <v>4.4703999999999989E-4</v>
      </c>
      <c r="H161" s="266">
        <f>H$160/1000</f>
        <v>1E-3</v>
      </c>
      <c r="I161" s="270">
        <v>1</v>
      </c>
      <c r="J161" s="266">
        <f>J$162/3600</f>
        <v>2.7777777777777778E-4</v>
      </c>
      <c r="K161" s="267">
        <f>K$163*9.80665/1000</f>
        <v>9.8066500000000001E-3</v>
      </c>
      <c r="L161" s="324" t="s">
        <v>968</v>
      </c>
      <c r="M161" s="6"/>
      <c r="R161" s="316"/>
      <c r="S161" s="316"/>
      <c r="T161" s="316"/>
      <c r="U161" s="316"/>
      <c r="V161" s="316"/>
      <c r="W161" s="316"/>
      <c r="X161" s="316"/>
      <c r="Y161" s="316"/>
    </row>
    <row r="162" spans="1:25" ht="13.5" thickBot="1" x14ac:dyDescent="0.25">
      <c r="A162" s="869"/>
      <c r="B162" s="276" t="s">
        <v>969</v>
      </c>
      <c r="C162" s="276"/>
      <c r="D162" s="276"/>
      <c r="E162" s="279">
        <f>E$157*25.4/1000/1000*3600</f>
        <v>9.1439999999999994E-2</v>
      </c>
      <c r="F162" s="279">
        <f>F$158*12*25.4/1000/1000*3600</f>
        <v>1.09728</v>
      </c>
      <c r="G162" s="279">
        <f>G$159*5280*12*25.4/1000/1000</f>
        <v>1.6093440000000001</v>
      </c>
      <c r="H162" s="279">
        <f>H$160/1000*3600</f>
        <v>3.6</v>
      </c>
      <c r="I162" s="279">
        <f>I$161*3600</f>
        <v>3600</v>
      </c>
      <c r="J162" s="280">
        <v>1</v>
      </c>
      <c r="K162" s="281">
        <f>K$163*9.80665/1000*3600</f>
        <v>35.303939999999997</v>
      </c>
      <c r="L162" s="328" t="s">
        <v>969</v>
      </c>
      <c r="M162" s="326"/>
      <c r="R162" s="316"/>
      <c r="S162" s="316"/>
      <c r="T162" s="316"/>
      <c r="U162" s="316"/>
      <c r="V162" s="316"/>
      <c r="W162" s="316"/>
      <c r="X162" s="316"/>
      <c r="Y162" s="316"/>
    </row>
    <row r="163" spans="1:25" ht="13.5" thickBot="1" x14ac:dyDescent="0.25">
      <c r="A163" s="277"/>
      <c r="B163" s="277" t="s">
        <v>970</v>
      </c>
      <c r="C163" s="277"/>
      <c r="D163" s="277"/>
      <c r="E163" s="321">
        <f>E$157*25.4/1000/9.80665</f>
        <v>2.5900791809639378E-3</v>
      </c>
      <c r="F163" s="321">
        <f>F$158*12*25.4/1000/9.80665</f>
        <v>3.108095017156725E-2</v>
      </c>
      <c r="G163" s="321">
        <f>G$159/3600*5280*12*25.4/1000/9.80665</f>
        <v>4.5585393584965293E-2</v>
      </c>
      <c r="H163" s="321">
        <f>H$160/9.80665</f>
        <v>0.10197162129779283</v>
      </c>
      <c r="I163" s="321">
        <f>I$161*1000/9.80665</f>
        <v>101.97162129779284</v>
      </c>
      <c r="J163" s="321">
        <f>J$162/3600*1000/9.80665</f>
        <v>2.8325450360498008E-2</v>
      </c>
      <c r="K163" s="289">
        <v>1</v>
      </c>
      <c r="L163" s="325" t="s">
        <v>970</v>
      </c>
      <c r="M163" s="326"/>
      <c r="R163" s="316"/>
      <c r="S163" s="316"/>
      <c r="T163" s="316"/>
      <c r="U163" s="316"/>
      <c r="V163" s="316"/>
      <c r="W163" s="316"/>
      <c r="X163" s="316"/>
      <c r="Y163" s="316"/>
    </row>
    <row r="165" spans="1:25" x14ac:dyDescent="0.2">
      <c r="D165" t="s">
        <v>925</v>
      </c>
    </row>
    <row r="166" spans="1:25" ht="13.5" thickBot="1" x14ac:dyDescent="0.25"/>
    <row r="167" spans="1:25" s="259" customFormat="1" ht="29.25" thickTop="1" thickBot="1" x14ac:dyDescent="0.4">
      <c r="A167" s="291"/>
      <c r="B167" s="292" t="s">
        <v>971</v>
      </c>
      <c r="C167" s="291"/>
      <c r="D167" s="293" t="s">
        <v>972</v>
      </c>
      <c r="E167" s="293" t="s">
        <v>973</v>
      </c>
      <c r="F167" s="293" t="s">
        <v>974</v>
      </c>
      <c r="G167" s="293" t="s">
        <v>975</v>
      </c>
      <c r="H167" s="293" t="s">
        <v>976</v>
      </c>
      <c r="I167" s="293" t="s">
        <v>977</v>
      </c>
      <c r="J167" s="293" t="s">
        <v>978</v>
      </c>
      <c r="K167" s="293" t="s">
        <v>979</v>
      </c>
      <c r="L167" s="293" t="s">
        <v>980</v>
      </c>
      <c r="M167" s="293" t="s">
        <v>981</v>
      </c>
      <c r="N167" s="293" t="s">
        <v>982</v>
      </c>
      <c r="O167" s="293" t="s">
        <v>983</v>
      </c>
      <c r="P167" s="293" t="s">
        <v>984</v>
      </c>
      <c r="Q167" s="294" t="s">
        <v>985</v>
      </c>
      <c r="R167" s="295" t="s">
        <v>971</v>
      </c>
    </row>
    <row r="168" spans="1:25" x14ac:dyDescent="0.2">
      <c r="B168" s="329" t="s">
        <v>986</v>
      </c>
      <c r="C168" s="329"/>
      <c r="D168" s="270">
        <v>1</v>
      </c>
      <c r="E168" s="330">
        <f>E$169*1000</f>
        <v>1000</v>
      </c>
      <c r="F168" s="330">
        <f>F$170*1000*1000</f>
        <v>1000000</v>
      </c>
      <c r="G168" s="330">
        <f>G$171*1000*1000*1000</f>
        <v>1000000000</v>
      </c>
      <c r="H168" s="272">
        <f>H$172*1000*1000*1000*1000</f>
        <v>1000000000000</v>
      </c>
      <c r="I168" s="272">
        <f>I$173*60*1000*1000*1000*1000</f>
        <v>60000000000000</v>
      </c>
      <c r="J168" s="272">
        <f>J$174*60*60*1000*1000*1000*1000</f>
        <v>3600000000000000</v>
      </c>
      <c r="K168" s="272">
        <f>K$175*24*60*60*1000*1000*1000*1000</f>
        <v>8.64E+16</v>
      </c>
      <c r="L168" s="272">
        <f>L$176*7*24*60*60*1000*1000*1000*1000</f>
        <v>6.048E+17</v>
      </c>
      <c r="M168" s="272">
        <f>M$177*14*24*60*60*1000*1000*1000*1000</f>
        <v>1.2096E+18</v>
      </c>
      <c r="N168" s="272">
        <f>N$178/12*365*24*60*60*1000*1000*1000*1000</f>
        <v>2.628E+18</v>
      </c>
      <c r="O168" s="272">
        <f>O$179*365*24*60*60*1000*1000*1000*1000</f>
        <v>3.1536E+19</v>
      </c>
      <c r="P168" s="272">
        <f>P$180*366*24*60*60*1000*1000*1000*1000</f>
        <v>3.16224E+19</v>
      </c>
      <c r="Q168" s="273">
        <f>Q$181*(365+5/24+48/60/24+46/60/60/24)*24*60*60*1000*1000*1000*1000</f>
        <v>3.1556926000000004E+19</v>
      </c>
      <c r="R168" s="331" t="s">
        <v>986</v>
      </c>
    </row>
    <row r="169" spans="1:25" x14ac:dyDescent="0.2">
      <c r="B169" s="329" t="s">
        <v>987</v>
      </c>
      <c r="C169" s="329"/>
      <c r="D169" s="272">
        <f>D$168/1000</f>
        <v>1E-3</v>
      </c>
      <c r="E169" s="270">
        <v>1</v>
      </c>
      <c r="F169" s="330">
        <f>F$170*1000</f>
        <v>1000</v>
      </c>
      <c r="G169" s="330">
        <f>G$171*1000*1000</f>
        <v>1000000</v>
      </c>
      <c r="H169" s="330">
        <f>H$172*1000*1000*1000</f>
        <v>1000000000</v>
      </c>
      <c r="I169" s="330">
        <f>I$173*60*1000*1000*1000</f>
        <v>60000000000</v>
      </c>
      <c r="J169" s="272">
        <f>J$174*60*60*1000*1000*1000</f>
        <v>3600000000000</v>
      </c>
      <c r="K169" s="272">
        <f>K$175*24*60*60*1000*1000*1000</f>
        <v>86400000000000</v>
      </c>
      <c r="L169" s="272">
        <f>L$176*7*24*60*60*1000*1000*1000</f>
        <v>604800000000000</v>
      </c>
      <c r="M169" s="272">
        <f>M$177*14*24*60*60*1000*1000*1000</f>
        <v>1209600000000000</v>
      </c>
      <c r="N169" s="272">
        <f>N$178/12*365*24*60*60*1000*1000*1000</f>
        <v>2628000000000000</v>
      </c>
      <c r="O169" s="272">
        <f>O$179*365*24*60*60*1000*1000*1000</f>
        <v>3.1536E+16</v>
      </c>
      <c r="P169" s="272">
        <f>P$180*366*24*60*60*1000*1000*1000</f>
        <v>3.16224E+16</v>
      </c>
      <c r="Q169" s="273">
        <f>Q$181*(365+5/24+48/60/24+46/60/60/24)*24*60*60*1000*1000*1000</f>
        <v>3.1556926000000004E+16</v>
      </c>
      <c r="R169" s="331" t="s">
        <v>987</v>
      </c>
    </row>
    <row r="170" spans="1:25" x14ac:dyDescent="0.2">
      <c r="B170" s="332" t="s">
        <v>988</v>
      </c>
      <c r="C170" s="329"/>
      <c r="D170" s="266">
        <f>D$168/1000/1000</f>
        <v>9.9999999999999995E-7</v>
      </c>
      <c r="E170" s="266">
        <f>E$169/1000</f>
        <v>1E-3</v>
      </c>
      <c r="F170" s="270">
        <v>1</v>
      </c>
      <c r="G170" s="333">
        <f>G$171*1000</f>
        <v>1000</v>
      </c>
      <c r="H170" s="333">
        <f>H$172*1000*1000</f>
        <v>1000000</v>
      </c>
      <c r="I170" s="333">
        <f>I$173*60*1000*1000</f>
        <v>60000000</v>
      </c>
      <c r="J170" s="333">
        <f>J$174*60*60*1000*1000</f>
        <v>3600000000</v>
      </c>
      <c r="K170" s="333">
        <f>K$175*24*60*60*1000*1000</f>
        <v>86400000000</v>
      </c>
      <c r="L170" s="266">
        <f>L$176*7*24*60*60*1000*1000</f>
        <v>604800000000</v>
      </c>
      <c r="M170" s="266">
        <f>M$177*14*24*60*60*1000*1000</f>
        <v>1209600000000</v>
      </c>
      <c r="N170" s="266">
        <f>N$178/12*365*24*60*60*1000*1000</f>
        <v>2628000000000</v>
      </c>
      <c r="O170" s="266">
        <f>O$179*365*24*60*60*1000*1000</f>
        <v>31536000000000</v>
      </c>
      <c r="P170" s="266">
        <f>P$180*366*24*60*60*1000*1000</f>
        <v>31622400000000</v>
      </c>
      <c r="Q170" s="267">
        <f>Q$181*(365+5/24+48/60/24+46/60/60/24)*24*60*60*1000*1000</f>
        <v>31556926000000.004</v>
      </c>
      <c r="R170" s="334" t="s">
        <v>988</v>
      </c>
    </row>
    <row r="171" spans="1:25" s="80" customFormat="1" ht="13.5" thickBot="1" x14ac:dyDescent="0.25">
      <c r="B171" s="335" t="s">
        <v>989</v>
      </c>
      <c r="C171" s="336"/>
      <c r="D171" s="266">
        <f>D$168/1000/1000/1000</f>
        <v>9.9999999999999986E-10</v>
      </c>
      <c r="E171" s="266">
        <f>E$169/1000/1000</f>
        <v>9.9999999999999995E-7</v>
      </c>
      <c r="F171" s="266">
        <f>F$170/1000</f>
        <v>1E-3</v>
      </c>
      <c r="G171" s="270">
        <v>1</v>
      </c>
      <c r="H171" s="333">
        <f>H$172*1000</f>
        <v>1000</v>
      </c>
      <c r="I171" s="333">
        <f>I$173*60*1000</f>
        <v>60000</v>
      </c>
      <c r="J171" s="333">
        <f>J$174*60*60*1000</f>
        <v>3600000</v>
      </c>
      <c r="K171" s="333">
        <f>K$175*24*60*60*1000</f>
        <v>86400000</v>
      </c>
      <c r="L171" s="266">
        <f>L$176*7*24*60*60*1000</f>
        <v>604800000</v>
      </c>
      <c r="M171" s="333">
        <f>M$177*14*24*60*60*1000</f>
        <v>1209600000</v>
      </c>
      <c r="N171" s="266">
        <f>N$178/12*365*24*60*60*1000</f>
        <v>2628000000</v>
      </c>
      <c r="O171" s="333">
        <f>O$179*365*24*60*60*1000</f>
        <v>31536000000</v>
      </c>
      <c r="P171" s="333">
        <f>P$180*366*24*60*60*1000</f>
        <v>31622400000</v>
      </c>
      <c r="Q171" s="337">
        <f>Q$181*(365+5/24+48/60/24+46/60/60/24)*24*60*60*1000</f>
        <v>31556926000.000004</v>
      </c>
      <c r="R171" s="334" t="s">
        <v>989</v>
      </c>
    </row>
    <row r="172" spans="1:25" s="80" customFormat="1" ht="13.5" thickBot="1" x14ac:dyDescent="0.25">
      <c r="A172" s="338"/>
      <c r="B172" s="338" t="s">
        <v>990</v>
      </c>
      <c r="C172" s="338"/>
      <c r="D172" s="339">
        <f>D$168/1000/1000/1000/1000</f>
        <v>9.9999999999999978E-13</v>
      </c>
      <c r="E172" s="339">
        <f>E$169/1000/1000/1000</f>
        <v>9.9999999999999986E-10</v>
      </c>
      <c r="F172" s="339">
        <f>F$170/1000/1000</f>
        <v>9.9999999999999995E-7</v>
      </c>
      <c r="G172" s="339">
        <f>G$171/1000</f>
        <v>1E-3</v>
      </c>
      <c r="H172" s="340">
        <v>1</v>
      </c>
      <c r="I172" s="341">
        <f>I$173*60</f>
        <v>60</v>
      </c>
      <c r="J172" s="341">
        <f>J$174*60*60</f>
        <v>3600</v>
      </c>
      <c r="K172" s="341">
        <f>K$175*24*60*60</f>
        <v>86400</v>
      </c>
      <c r="L172" s="339">
        <f>L$176*7*24*60*60</f>
        <v>604800</v>
      </c>
      <c r="M172" s="341">
        <f>M$177*14*24*60*60</f>
        <v>1209600</v>
      </c>
      <c r="N172" s="339">
        <f>N$178/12*365*24*60*60</f>
        <v>2628000</v>
      </c>
      <c r="O172" s="341">
        <f>O$179*365*24*60*60</f>
        <v>31536000</v>
      </c>
      <c r="P172" s="341">
        <f>P$180*366*24*60*60</f>
        <v>31622400</v>
      </c>
      <c r="Q172" s="342">
        <f>Q$181*(365+5/24+48/60/24+46/60/60/24)*24*60*60</f>
        <v>31556926.000000004</v>
      </c>
      <c r="R172" s="343" t="s">
        <v>990</v>
      </c>
    </row>
    <row r="173" spans="1:25" x14ac:dyDescent="0.2">
      <c r="B173" t="s">
        <v>991</v>
      </c>
      <c r="D173" s="272">
        <f>D$168/1000/1000/1000/1000/60</f>
        <v>1.6666666666666664E-14</v>
      </c>
      <c r="E173" s="272">
        <f>E$169/1000/1000/1000/60</f>
        <v>1.6666666666666664E-11</v>
      </c>
      <c r="F173" s="272">
        <f>F$170/1000/1000/60</f>
        <v>1.6666666666666667E-8</v>
      </c>
      <c r="G173" s="272">
        <f>G$171/1000/60</f>
        <v>1.6666666666666667E-5</v>
      </c>
      <c r="H173" s="272">
        <f>H$172/60</f>
        <v>1.6666666666666666E-2</v>
      </c>
      <c r="I173" s="270">
        <v>1</v>
      </c>
      <c r="J173" s="330">
        <f>J$174*60</f>
        <v>60</v>
      </c>
      <c r="K173" s="330">
        <f>K$175*24*60</f>
        <v>1440</v>
      </c>
      <c r="L173" s="272">
        <f>L$176*7*24*60</f>
        <v>10080</v>
      </c>
      <c r="M173" s="330">
        <f>M$177*14*24*60</f>
        <v>20160</v>
      </c>
      <c r="N173" s="272">
        <f>N$178/12*365*24*60</f>
        <v>43800</v>
      </c>
      <c r="O173" s="330">
        <f>O$179*365*24*60</f>
        <v>525600</v>
      </c>
      <c r="P173" s="330">
        <f>P$180*366*24*60</f>
        <v>527040</v>
      </c>
      <c r="Q173" s="344">
        <f>Q$181*(365+5/24+48/60/24+46/60/60/24)*24*60</f>
        <v>525948.76666666672</v>
      </c>
      <c r="R173" s="298" t="s">
        <v>991</v>
      </c>
    </row>
    <row r="174" spans="1:25" x14ac:dyDescent="0.2">
      <c r="B174" s="264" t="s">
        <v>992</v>
      </c>
      <c r="D174" s="266">
        <f>D$168/1000/1000/1000/1000/60/60</f>
        <v>2.7777777777777775E-16</v>
      </c>
      <c r="E174" s="266">
        <f>E$169/1000/1000/1000/60/60</f>
        <v>2.7777777777777774E-13</v>
      </c>
      <c r="F174" s="266">
        <f>F$170/1000/1000/60/60</f>
        <v>2.7777777777777777E-10</v>
      </c>
      <c r="G174" s="266">
        <f>G$171/1000/60/60</f>
        <v>2.7777777777777781E-7</v>
      </c>
      <c r="H174" s="266">
        <f>H$172/60/60</f>
        <v>2.7777777777777778E-4</v>
      </c>
      <c r="I174" s="266">
        <f>I$173/60</f>
        <v>1.6666666666666666E-2</v>
      </c>
      <c r="J174" s="270">
        <v>1</v>
      </c>
      <c r="K174" s="266">
        <f>K$175*24</f>
        <v>24</v>
      </c>
      <c r="L174" s="266">
        <f>L$176*7*24</f>
        <v>168</v>
      </c>
      <c r="M174" s="266">
        <f>M$177*14*24</f>
        <v>336</v>
      </c>
      <c r="N174" s="266">
        <f>N$178/12*365*24</f>
        <v>730</v>
      </c>
      <c r="O174" s="266">
        <f>O$179*365*24</f>
        <v>8760</v>
      </c>
      <c r="P174" s="266">
        <f>P$180*366*24</f>
        <v>8784</v>
      </c>
      <c r="Q174" s="267">
        <f>Q$181*(365+5/24+48/60/24+46/60/60/24)*24</f>
        <v>8765.812777777779</v>
      </c>
      <c r="R174" s="298" t="s">
        <v>992</v>
      </c>
    </row>
    <row r="175" spans="1:25" x14ac:dyDescent="0.2">
      <c r="B175" s="264" t="s">
        <v>993</v>
      </c>
      <c r="D175" s="266">
        <f>D$168/1000/1000/1000/1000/60/60/24</f>
        <v>1.1574074074074072E-17</v>
      </c>
      <c r="E175" s="266">
        <f>E$169/1000/1000/1000/60/60/24</f>
        <v>1.1574074074074072E-14</v>
      </c>
      <c r="F175" s="266">
        <f>F$170/1000/1000/60/60/24</f>
        <v>1.1574074074074074E-11</v>
      </c>
      <c r="G175" s="266">
        <f>G$171/1000/60/60/24</f>
        <v>1.1574074074074076E-8</v>
      </c>
      <c r="H175" s="266">
        <f>H$172/60/60/24</f>
        <v>1.1574074074074073E-5</v>
      </c>
      <c r="I175" s="266">
        <f>I$173/60/24</f>
        <v>6.9444444444444447E-4</v>
      </c>
      <c r="J175" s="266">
        <f>J$174/24</f>
        <v>4.1666666666666664E-2</v>
      </c>
      <c r="K175" s="270">
        <v>1</v>
      </c>
      <c r="L175" s="266">
        <f>L$176*7</f>
        <v>7</v>
      </c>
      <c r="M175" s="266">
        <f>M$177*14</f>
        <v>14</v>
      </c>
      <c r="N175" s="266">
        <f>N$178/12*365</f>
        <v>30.416666666666664</v>
      </c>
      <c r="O175" s="266">
        <f>O$179*365</f>
        <v>365</v>
      </c>
      <c r="P175" s="266">
        <f>P$180*366</f>
        <v>366</v>
      </c>
      <c r="Q175" s="267">
        <f>Q$181*(365+5/24+48/60/24+46/60/60/24)</f>
        <v>365.24219907407411</v>
      </c>
      <c r="R175" s="298" t="s">
        <v>993</v>
      </c>
    </row>
    <row r="176" spans="1:25" x14ac:dyDescent="0.2">
      <c r="B176" t="s">
        <v>994</v>
      </c>
      <c r="D176" s="272">
        <f>D$168/1000/1000/1000/1000/60/60/24/7</f>
        <v>1.6534391534391532E-18</v>
      </c>
      <c r="E176" s="272">
        <f>E$169/1000/1000/1000/60/60/24/7</f>
        <v>1.6534391534391532E-15</v>
      </c>
      <c r="F176" s="272">
        <f>F$170/1000/1000/60/60/24/7</f>
        <v>1.6534391534391534E-12</v>
      </c>
      <c r="G176" s="272">
        <f>G$171/1000/60/60/24/7</f>
        <v>1.6534391534391537E-9</v>
      </c>
      <c r="H176" s="272">
        <f>H$172/60/60/24/7</f>
        <v>1.6534391534391533E-6</v>
      </c>
      <c r="I176" s="272">
        <f>I$173/60/24/7</f>
        <v>9.9206349206349206E-5</v>
      </c>
      <c r="J176" s="272">
        <f>J$174/24/7</f>
        <v>5.9523809523809521E-3</v>
      </c>
      <c r="K176" s="272">
        <f>K$175/7</f>
        <v>0.14285714285714285</v>
      </c>
      <c r="L176" s="270">
        <v>1</v>
      </c>
      <c r="M176" s="272">
        <f>M$177*2</f>
        <v>2</v>
      </c>
      <c r="N176" s="272">
        <f>N$178/12*365/7</f>
        <v>4.3452380952380949</v>
      </c>
      <c r="O176" s="272">
        <f>O$179*365/7</f>
        <v>52.142857142857146</v>
      </c>
      <c r="P176" s="272">
        <f>P$180*366/7</f>
        <v>52.285714285714285</v>
      </c>
      <c r="Q176" s="273">
        <f>Q$181*(365+5/24+48/60/24+46/60/60/24)/7</f>
        <v>52.177457010582017</v>
      </c>
      <c r="R176" s="298" t="s">
        <v>994</v>
      </c>
    </row>
    <row r="177" spans="1:20" x14ac:dyDescent="0.2">
      <c r="B177" t="s">
        <v>995</v>
      </c>
      <c r="D177" s="272">
        <f>D$168/1000/1000/1000/1000/60/60/24/14</f>
        <v>8.267195767195766E-19</v>
      </c>
      <c r="E177" s="272">
        <f>E$169/1000/1000/1000/60/60/24/14</f>
        <v>8.2671957671957658E-16</v>
      </c>
      <c r="F177" s="272">
        <f>F$170/1000/1000/60/60/24/14</f>
        <v>8.2671957671957671E-13</v>
      </c>
      <c r="G177" s="272">
        <f>G$171/1000/60/60/24/14</f>
        <v>8.2671957671957685E-10</v>
      </c>
      <c r="H177" s="272">
        <f>H$172/60/60/24/14</f>
        <v>8.2671957671957665E-7</v>
      </c>
      <c r="I177" s="272">
        <f>I$173/60/24/14</f>
        <v>4.9603174603174603E-5</v>
      </c>
      <c r="J177" s="272">
        <f>J$174/24/14</f>
        <v>2.976190476190476E-3</v>
      </c>
      <c r="K177" s="272">
        <f>K$175/14</f>
        <v>7.1428571428571425E-2</v>
      </c>
      <c r="L177" s="272">
        <f>L$176/2</f>
        <v>0.5</v>
      </c>
      <c r="M177" s="270">
        <v>1</v>
      </c>
      <c r="N177" s="272">
        <f>N$178/12*365/14</f>
        <v>2.1726190476190474</v>
      </c>
      <c r="O177" s="272">
        <f>O$179*365/14</f>
        <v>26.071428571428573</v>
      </c>
      <c r="P177" s="272">
        <f>P$180*366/14</f>
        <v>26.142857142857142</v>
      </c>
      <c r="Q177" s="273">
        <f>Q$181*(365+5/24+48/60/24+46/60/60/24)/14</f>
        <v>26.088728505291009</v>
      </c>
      <c r="R177" s="298" t="s">
        <v>995</v>
      </c>
    </row>
    <row r="178" spans="1:20" x14ac:dyDescent="0.2">
      <c r="B178" s="264" t="s">
        <v>996</v>
      </c>
      <c r="D178" s="345">
        <f>D$168/1000/1000/1000/1000/60/60/24/365*12</f>
        <v>3.8051750380517496E-19</v>
      </c>
      <c r="E178" s="266">
        <f>E$169/1000/1000/1000/60/60/24/365*12</f>
        <v>3.8051750380517498E-16</v>
      </c>
      <c r="F178" s="266">
        <f>F$170/1000/1000/60/60/24/365*12</f>
        <v>3.8051750380517501E-13</v>
      </c>
      <c r="G178" s="266">
        <f>G$171/1000/60/60/24/365*12</f>
        <v>3.8051750380517513E-10</v>
      </c>
      <c r="H178" s="266">
        <f>H$172/60/60/24/365*12</f>
        <v>3.8051750380517503E-7</v>
      </c>
      <c r="I178" s="266">
        <f>I$173/60/24/365*12</f>
        <v>2.2831050228310503E-5</v>
      </c>
      <c r="J178" s="266">
        <f>J$174/24/365*12</f>
        <v>1.3698630136986301E-3</v>
      </c>
      <c r="K178" s="266">
        <f>K$175/365*12</f>
        <v>3.2876712328767127E-2</v>
      </c>
      <c r="L178" s="266">
        <f>L$176*7/365*12</f>
        <v>0.23013698630136986</v>
      </c>
      <c r="M178" s="266">
        <f>M$177*14/365*12</f>
        <v>0.46027397260273972</v>
      </c>
      <c r="N178" s="270">
        <v>1</v>
      </c>
      <c r="O178" s="266">
        <f>O$179*12</f>
        <v>12</v>
      </c>
      <c r="P178" s="266">
        <f>P$180*12</f>
        <v>12</v>
      </c>
      <c r="Q178" s="267">
        <f>Q$181*12</f>
        <v>12</v>
      </c>
      <c r="R178" s="298" t="s">
        <v>997</v>
      </c>
    </row>
    <row r="179" spans="1:20" x14ac:dyDescent="0.2">
      <c r="B179" s="264" t="s">
        <v>998</v>
      </c>
      <c r="D179" s="266">
        <f>D$168/1000/1000/1000/1000/60/60/24/365</f>
        <v>3.170979198376458E-20</v>
      </c>
      <c r="E179" s="266">
        <f>E$169/1000/1000/1000/60/60/24/365</f>
        <v>3.1709791983764581E-17</v>
      </c>
      <c r="F179" s="266">
        <f>F$170/1000/1000/60/60/24/365</f>
        <v>3.1709791983764584E-14</v>
      </c>
      <c r="G179" s="266">
        <f>G$171/1000/60/60/24/365</f>
        <v>3.1709791983764592E-11</v>
      </c>
      <c r="H179" s="266">
        <f>H$172/60/60/24/365</f>
        <v>3.1709791983764586E-8</v>
      </c>
      <c r="I179" s="266">
        <f>I$173/60/24/365</f>
        <v>1.9025875190258753E-6</v>
      </c>
      <c r="J179" s="266">
        <f>J$174/24/365</f>
        <v>1.1415525114155251E-4</v>
      </c>
      <c r="K179" s="266">
        <f>K$175/365</f>
        <v>2.7397260273972603E-3</v>
      </c>
      <c r="L179" s="266">
        <f>L$176/365</f>
        <v>2.7397260273972603E-3</v>
      </c>
      <c r="M179" s="266">
        <f>M$177*14/365</f>
        <v>3.8356164383561646E-2</v>
      </c>
      <c r="N179" s="266">
        <f>N$178/12</f>
        <v>8.3333333333333329E-2</v>
      </c>
      <c r="O179" s="270">
        <v>1</v>
      </c>
      <c r="P179" s="266">
        <f>P$180*366/365</f>
        <v>1.0027397260273974</v>
      </c>
      <c r="Q179" s="267">
        <f>Q$181*(365+5/24+48/60/24+46/60/60/24)/365</f>
        <v>1.0006635591070523</v>
      </c>
      <c r="R179" s="298" t="s">
        <v>998</v>
      </c>
    </row>
    <row r="180" spans="1:20" x14ac:dyDescent="0.2">
      <c r="B180" t="s">
        <v>999</v>
      </c>
      <c r="D180" s="272">
        <f>D$168/1000/1000/1000/1000/60/60/24/366</f>
        <v>3.1623153207852657E-20</v>
      </c>
      <c r="E180" s="272">
        <f>E$169/1000/1000/1000/60/60/24/366</f>
        <v>3.1623153207852658E-17</v>
      </c>
      <c r="F180" s="272">
        <f>F$170/1000/1000/60/60/24/366</f>
        <v>3.1623153207852658E-14</v>
      </c>
      <c r="G180" s="272">
        <f>G$171/1000/60/60/24/366</f>
        <v>3.1623153207852666E-11</v>
      </c>
      <c r="H180" s="272">
        <f>H$172/60/60/24/366</f>
        <v>3.1623153207852658E-8</v>
      </c>
      <c r="I180" s="272">
        <f>I$173/60/24/366</f>
        <v>1.8973891924711598E-6</v>
      </c>
      <c r="J180" s="272">
        <f>J$174/24/366</f>
        <v>1.1384335154826958E-4</v>
      </c>
      <c r="K180" s="272">
        <f>K$175/366</f>
        <v>2.7322404371584699E-3</v>
      </c>
      <c r="L180" s="272">
        <f>L$176/366</f>
        <v>2.7322404371584699E-3</v>
      </c>
      <c r="M180" s="272">
        <f>M$177*14/366</f>
        <v>3.825136612021858E-2</v>
      </c>
      <c r="N180" s="272">
        <f>N$178/12</f>
        <v>8.3333333333333329E-2</v>
      </c>
      <c r="O180" s="272">
        <f>O$179*365/366</f>
        <v>0.99726775956284153</v>
      </c>
      <c r="P180" s="270">
        <v>1</v>
      </c>
      <c r="Q180" s="273">
        <f>Q$181*(365+5/24+48/60/24+46/60/60/24)/366</f>
        <v>0.99792950566686911</v>
      </c>
      <c r="R180" s="298" t="s">
        <v>999</v>
      </c>
    </row>
    <row r="181" spans="1:20" ht="13.5" thickBot="1" x14ac:dyDescent="0.25">
      <c r="A181" s="277"/>
      <c r="B181" s="277" t="s">
        <v>1000</v>
      </c>
      <c r="C181" s="277"/>
      <c r="D181" s="286">
        <f>D$168/1000/1000/1000/1000/60/60/24/(365+5/24+48/60/24+46/60/60/24)</f>
        <v>3.1688764615412785E-20</v>
      </c>
      <c r="E181" s="286">
        <f>E$169/1000/1000/1000/60/60/24/(365+5/24+48/60/24+46/60/60/24)</f>
        <v>3.1688764615412785E-17</v>
      </c>
      <c r="F181" s="286">
        <f>F$170/1000/1000/60/60/24/(365+5/24+48/60/24+46/60/60/24)</f>
        <v>3.1688764615412787E-14</v>
      </c>
      <c r="G181" s="286">
        <f>G$171/1000/60/60/24/(365+5/24+48/60/24+46/60/60/24)</f>
        <v>3.1688764615412792E-11</v>
      </c>
      <c r="H181" s="286">
        <f>H$172/60/60/24/(365+5/24+48/60/24+46/60/60/24)</f>
        <v>3.1688764615412791E-8</v>
      </c>
      <c r="I181" s="286">
        <f>I$173/60/24/(365+5/24+48/60/24+46/60/60/24)</f>
        <v>1.9013258769247675E-6</v>
      </c>
      <c r="J181" s="286">
        <f>J$174/24/(365+5/24+48/60/24+46/60/60/24)</f>
        <v>1.1407955261548604E-4</v>
      </c>
      <c r="K181" s="286">
        <f>K$175/(365+5/24+48/60/24+46/60/60/24)</f>
        <v>2.7379092627716653E-3</v>
      </c>
      <c r="L181" s="286">
        <f>L$176/(365+5/24+48/60/24+46/60/60/24)</f>
        <v>2.7379092627716653E-3</v>
      </c>
      <c r="M181" s="286">
        <f>M$177*14/(365+5/24+48/60/24+46/60/60/24)</f>
        <v>3.8330729678803313E-2</v>
      </c>
      <c r="N181" s="286">
        <f>N$178/12</f>
        <v>8.3333333333333329E-2</v>
      </c>
      <c r="O181" s="286">
        <f>O$179*365/(365+5/24+48/60/24+46/60/60/24)</f>
        <v>0.99933688091165773</v>
      </c>
      <c r="P181" s="286">
        <f>P$180*366/(365+5/24+48/60/24+46/60/60/24)</f>
        <v>1.0020747901744294</v>
      </c>
      <c r="Q181" s="289">
        <v>1</v>
      </c>
      <c r="R181" s="301" t="s">
        <v>1000</v>
      </c>
    </row>
    <row r="182" spans="1:20" x14ac:dyDescent="0.2">
      <c r="D182" t="s">
        <v>1001</v>
      </c>
    </row>
    <row r="183" spans="1:20" x14ac:dyDescent="0.2">
      <c r="D183" t="s">
        <v>1002</v>
      </c>
    </row>
    <row r="184" spans="1:20" x14ac:dyDescent="0.2">
      <c r="D184" t="s">
        <v>1003</v>
      </c>
    </row>
    <row r="185" spans="1:20" ht="13.5" thickBot="1" x14ac:dyDescent="0.25"/>
    <row r="186" spans="1:20" s="259" customFormat="1" ht="29.25" thickTop="1" thickBot="1" x14ac:dyDescent="0.4">
      <c r="A186" s="291"/>
      <c r="B186" s="292" t="s">
        <v>1004</v>
      </c>
      <c r="C186" s="291"/>
      <c r="D186" s="293" t="s">
        <v>1005</v>
      </c>
      <c r="E186" s="293" t="s">
        <v>1006</v>
      </c>
      <c r="F186" s="293" t="s">
        <v>1007</v>
      </c>
      <c r="G186" s="293" t="s">
        <v>1008</v>
      </c>
      <c r="H186" s="293" t="s">
        <v>1009</v>
      </c>
      <c r="I186" s="293" t="s">
        <v>1010</v>
      </c>
      <c r="J186" s="294" t="s">
        <v>1011</v>
      </c>
      <c r="K186" s="295" t="s">
        <v>1004</v>
      </c>
      <c r="R186" s="296"/>
    </row>
    <row r="187" spans="1:20" x14ac:dyDescent="0.2">
      <c r="A187" s="80"/>
      <c r="B187" s="315" t="s">
        <v>1012</v>
      </c>
      <c r="C187" s="80"/>
      <c r="D187" s="270">
        <v>1</v>
      </c>
      <c r="E187" s="266">
        <f>E$188*4</f>
        <v>4</v>
      </c>
      <c r="F187" s="266">
        <f>F$189*8</f>
        <v>8</v>
      </c>
      <c r="G187" s="333">
        <f>G$190*1024*8</f>
        <v>8192</v>
      </c>
      <c r="H187" s="333">
        <f>H$191*1024*1024*8</f>
        <v>8388608</v>
      </c>
      <c r="I187" s="333">
        <f>I$192*1024*1024*1024*8</f>
        <v>8589934592</v>
      </c>
      <c r="J187" s="267">
        <f>J$193*1024*1024*1024*1024*8</f>
        <v>8796093022208</v>
      </c>
      <c r="K187" s="297" t="s">
        <v>1012</v>
      </c>
    </row>
    <row r="188" spans="1:20" x14ac:dyDescent="0.2">
      <c r="A188" s="80"/>
      <c r="B188" s="315" t="s">
        <v>1013</v>
      </c>
      <c r="C188" s="80"/>
      <c r="D188" s="266">
        <f>D$187/4</f>
        <v>0.25</v>
      </c>
      <c r="E188" s="270">
        <v>1</v>
      </c>
      <c r="F188" s="266">
        <f>F$189*2</f>
        <v>2</v>
      </c>
      <c r="G188" s="333">
        <f>G$190*1024*2</f>
        <v>2048</v>
      </c>
      <c r="H188" s="333">
        <f>H$191*1024*1024*2</f>
        <v>2097152</v>
      </c>
      <c r="I188" s="333">
        <f>I$192*1024*1024*1024*2</f>
        <v>2147483648</v>
      </c>
      <c r="J188" s="267">
        <f>J$193*1024*1024*1024*1024*2</f>
        <v>2199023255552</v>
      </c>
      <c r="K188" s="297" t="s">
        <v>1013</v>
      </c>
      <c r="M188" s="316"/>
      <c r="N188" s="316"/>
      <c r="O188" s="316"/>
      <c r="P188" s="316"/>
      <c r="Q188" s="316"/>
      <c r="R188" s="316"/>
      <c r="S188" s="316"/>
      <c r="T188" s="316"/>
    </row>
    <row r="189" spans="1:20" x14ac:dyDescent="0.2">
      <c r="A189" s="80"/>
      <c r="B189" s="80" t="s">
        <v>1014</v>
      </c>
      <c r="C189" s="80"/>
      <c r="D189" s="272">
        <f>D$187/8</f>
        <v>0.125</v>
      </c>
      <c r="E189" s="272">
        <f>E$188/2</f>
        <v>0.5</v>
      </c>
      <c r="F189" s="270">
        <v>1</v>
      </c>
      <c r="G189" s="330">
        <f>G$190*1024</f>
        <v>1024</v>
      </c>
      <c r="H189" s="330">
        <f>H$191*1024*1024</f>
        <v>1048576</v>
      </c>
      <c r="I189" s="330">
        <f>I$192*1024*1024*1024</f>
        <v>1073741824</v>
      </c>
      <c r="J189" s="273">
        <f>J$193*1024*1024*1024*1024</f>
        <v>1099511627776</v>
      </c>
      <c r="K189" s="298" t="s">
        <v>1014</v>
      </c>
      <c r="M189" s="316"/>
      <c r="N189" s="316"/>
      <c r="O189" s="316"/>
      <c r="P189" s="316"/>
      <c r="Q189" s="316"/>
      <c r="R189" s="316"/>
      <c r="S189" s="316"/>
      <c r="T189" s="316"/>
    </row>
    <row r="190" spans="1:20" x14ac:dyDescent="0.2">
      <c r="A190" s="80"/>
      <c r="B190" s="80" t="s">
        <v>1015</v>
      </c>
      <c r="C190" s="80"/>
      <c r="D190" s="272">
        <f>D$187/8/1024</f>
        <v>1.220703125E-4</v>
      </c>
      <c r="E190" s="272">
        <f>E$188/2/1024</f>
        <v>4.8828125E-4</v>
      </c>
      <c r="F190" s="272">
        <f>F$189/1024</f>
        <v>9.765625E-4</v>
      </c>
      <c r="G190" s="270">
        <v>1</v>
      </c>
      <c r="H190" s="330">
        <f>H$191*1024</f>
        <v>1024</v>
      </c>
      <c r="I190" s="330">
        <f>I$192*1024*1024</f>
        <v>1048576</v>
      </c>
      <c r="J190" s="344">
        <f>J$193*1024*1024*1024</f>
        <v>1073741824</v>
      </c>
      <c r="K190" s="298" t="s">
        <v>1015</v>
      </c>
      <c r="M190" s="316"/>
      <c r="N190" s="316"/>
      <c r="O190" s="316"/>
      <c r="P190" s="316"/>
      <c r="Q190" s="316"/>
      <c r="R190" s="316"/>
      <c r="S190" s="316"/>
      <c r="T190" s="316"/>
    </row>
    <row r="191" spans="1:20" x14ac:dyDescent="0.2">
      <c r="A191" s="80"/>
      <c r="B191" s="315" t="s">
        <v>1016</v>
      </c>
      <c r="C191" s="80"/>
      <c r="D191" s="266">
        <f>D$187/8/1024/1024</f>
        <v>1.1920928955078125E-7</v>
      </c>
      <c r="E191" s="266">
        <f>E$188/2/1024/1024</f>
        <v>4.76837158203125E-7</v>
      </c>
      <c r="F191" s="266">
        <f>F$189/1024/1024</f>
        <v>9.5367431640625E-7</v>
      </c>
      <c r="G191" s="266">
        <f>G$190/1024</f>
        <v>9.765625E-4</v>
      </c>
      <c r="H191" s="270">
        <v>1</v>
      </c>
      <c r="I191" s="333">
        <f>I$192*1024</f>
        <v>1024</v>
      </c>
      <c r="J191" s="337">
        <f>J$193*1024*1024</f>
        <v>1048576</v>
      </c>
      <c r="K191" s="297" t="s">
        <v>1016</v>
      </c>
      <c r="M191" s="316"/>
      <c r="N191" s="316"/>
      <c r="O191" s="316"/>
      <c r="P191" s="316"/>
      <c r="Q191" s="316"/>
      <c r="R191" s="316"/>
      <c r="S191" s="316"/>
      <c r="T191" s="316"/>
    </row>
    <row r="192" spans="1:20" x14ac:dyDescent="0.2">
      <c r="A192" s="80"/>
      <c r="B192" s="315" t="s">
        <v>1017</v>
      </c>
      <c r="C192" s="80"/>
      <c r="D192" s="266">
        <f>D$187/8/1024/1024/1024</f>
        <v>1.1641532182693481E-10</v>
      </c>
      <c r="E192" s="266">
        <f>E$188/2/1024/1024/1024</f>
        <v>4.6566128730773926E-10</v>
      </c>
      <c r="F192" s="266">
        <f>F$189/1024/1024/1024</f>
        <v>9.3132257461547852E-10</v>
      </c>
      <c r="G192" s="266">
        <f>G$190/1024/1024</f>
        <v>9.5367431640625E-7</v>
      </c>
      <c r="H192" s="266">
        <f>H$191/1024</f>
        <v>9.765625E-4</v>
      </c>
      <c r="I192" s="270">
        <v>1</v>
      </c>
      <c r="J192" s="337">
        <f>J$193*1024</f>
        <v>1024</v>
      </c>
      <c r="K192" s="297" t="s">
        <v>1017</v>
      </c>
      <c r="M192" s="316"/>
      <c r="N192" s="316"/>
      <c r="O192" s="316"/>
      <c r="P192" s="316"/>
      <c r="Q192" s="316"/>
      <c r="R192" s="316"/>
      <c r="S192" s="316"/>
      <c r="T192" s="316"/>
    </row>
    <row r="193" spans="1:20" ht="13.5" thickBot="1" x14ac:dyDescent="0.25">
      <c r="A193" s="277"/>
      <c r="B193" s="277" t="s">
        <v>1018</v>
      </c>
      <c r="C193" s="277"/>
      <c r="D193" s="286">
        <f>D$187/8/1024/1024/1024/1024</f>
        <v>1.1368683772161603E-13</v>
      </c>
      <c r="E193" s="286">
        <f>E$188/2/1024/1024/1024/1024</f>
        <v>4.5474735088646412E-13</v>
      </c>
      <c r="F193" s="286">
        <f>F$189/1024/1024/1024/1024</f>
        <v>9.0949470177292824E-13</v>
      </c>
      <c r="G193" s="286">
        <f>G$190/1024/1024/1024</f>
        <v>9.3132257461547852E-10</v>
      </c>
      <c r="H193" s="286">
        <f>H$191/1024/1024</f>
        <v>9.5367431640625E-7</v>
      </c>
      <c r="I193" s="286">
        <f>I$192/1024</f>
        <v>9.765625E-4</v>
      </c>
      <c r="J193" s="289">
        <v>1</v>
      </c>
      <c r="K193" s="301" t="s">
        <v>1018</v>
      </c>
      <c r="M193" s="316"/>
      <c r="N193" s="316"/>
      <c r="O193" s="316"/>
      <c r="P193" s="316"/>
      <c r="Q193" s="316"/>
      <c r="R193" s="316"/>
      <c r="S193" s="316"/>
      <c r="T193" s="316"/>
    </row>
    <row r="195" spans="1:20" x14ac:dyDescent="0.2">
      <c r="D195" t="s">
        <v>1019</v>
      </c>
    </row>
    <row r="196" spans="1:20" x14ac:dyDescent="0.2">
      <c r="D196" t="s">
        <v>1020</v>
      </c>
    </row>
    <row r="197" spans="1:20" x14ac:dyDescent="0.2">
      <c r="D197" t="s">
        <v>1021</v>
      </c>
    </row>
    <row r="198" spans="1:20" ht="13.5" thickBot="1" x14ac:dyDescent="0.25"/>
    <row r="199" spans="1:20" s="259" customFormat="1" ht="13.5" thickTop="1" x14ac:dyDescent="0.2"/>
    <row r="201" spans="1:20" ht="23.25" x14ac:dyDescent="0.35">
      <c r="B201" s="346"/>
    </row>
    <row r="202" spans="1:20" x14ac:dyDescent="0.2">
      <c r="B202" s="347"/>
    </row>
    <row r="203" spans="1:20" x14ac:dyDescent="0.2">
      <c r="B203" s="347"/>
    </row>
    <row r="204" spans="1:20" x14ac:dyDescent="0.2">
      <c r="B204" s="347"/>
    </row>
  </sheetData>
  <sheetProtection sheet="1" objects="1" scenarios="1"/>
  <mergeCells count="16">
    <mergeCell ref="D2:I3"/>
    <mergeCell ref="A157:A159"/>
    <mergeCell ref="A160:A162"/>
    <mergeCell ref="A1:B1"/>
    <mergeCell ref="A88:A89"/>
    <mergeCell ref="A90:A93"/>
    <mergeCell ref="A143:A148"/>
    <mergeCell ref="A149:A151"/>
    <mergeCell ref="A51:A53"/>
    <mergeCell ref="A54:A62"/>
    <mergeCell ref="A63:A67"/>
    <mergeCell ref="A84:A87"/>
    <mergeCell ref="A15:A20"/>
    <mergeCell ref="A21:A25"/>
    <mergeCell ref="A33:A38"/>
    <mergeCell ref="A39:A44"/>
  </mergeCells>
  <phoneticPr fontId="15" type="noConversion"/>
  <hyperlinks>
    <hyperlink ref="E11" location="Area" display="AREA"/>
    <hyperlink ref="D11" location="Length" display="LENGTH"/>
    <hyperlink ref="F11" location="Volume" display="Volume"/>
    <hyperlink ref="G11" location="Dry_Volume" display="Dry Volume"/>
    <hyperlink ref="H11" location="Conversions!B94" tooltip="MASS" display="Mass"/>
    <hyperlink ref="I11" location="Power" display="Power"/>
    <hyperlink ref="J11" location="Energy" display="Energy"/>
    <hyperlink ref="K11" location="Force" display="Force"/>
    <hyperlink ref="D12" location="Temperature" display="Temperature"/>
    <hyperlink ref="E12" location="Velocity" display="Velocity"/>
    <hyperlink ref="F12" location="Acceleration" display="Acceleration"/>
    <hyperlink ref="G12" location="Time" display="Time"/>
    <hyperlink ref="H12" location="Data" display="Data"/>
  </hyperlinks>
  <pageMargins left="0.75" right="0.75" top="1" bottom="1" header="0.5" footer="0.5"/>
  <pageSetup orientation="landscape" horizontalDpi="0" verticalDpi="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autoPageBreaks="0" fitToPage="1"/>
  </sheetPr>
  <dimension ref="A1:J30"/>
  <sheetViews>
    <sheetView showRowColHeaders="0" workbookViewId="0">
      <selection activeCell="C5" sqref="C5"/>
    </sheetView>
  </sheetViews>
  <sheetFormatPr defaultRowHeight="12.75" x14ac:dyDescent="0.2"/>
  <cols>
    <col min="1" max="1" width="15.85546875" style="25" customWidth="1"/>
    <col min="2" max="2" width="6.85546875" style="25" customWidth="1"/>
    <col min="3" max="3" width="14.140625" style="25" customWidth="1"/>
    <col min="4" max="4" width="11.7109375" style="25" customWidth="1"/>
    <col min="5" max="16384" width="9.140625" style="25"/>
  </cols>
  <sheetData>
    <row r="1" spans="1:10" x14ac:dyDescent="0.2">
      <c r="A1" s="23"/>
      <c r="E1" s="55">
        <v>1</v>
      </c>
    </row>
    <row r="2" spans="1:10" ht="15.75" thickBot="1" x14ac:dyDescent="0.3">
      <c r="A2" s="26"/>
      <c r="C2" s="61" t="str">
        <f>IF(E1=1,"FEET","METER")</f>
        <v>FEET</v>
      </c>
      <c r="D2" s="61" t="str">
        <f>IF(E1=1,"inches","cm")</f>
        <v>inches</v>
      </c>
      <c r="E2" s="52" t="s">
        <v>2099</v>
      </c>
      <c r="F2" s="52" t="s">
        <v>698</v>
      </c>
      <c r="H2" s="27"/>
    </row>
    <row r="3" spans="1:10" ht="15.75" thickBot="1" x14ac:dyDescent="0.3">
      <c r="B3" s="28" t="s">
        <v>1955</v>
      </c>
      <c r="C3" s="361">
        <v>1</v>
      </c>
      <c r="D3" s="361">
        <v>0</v>
      </c>
      <c r="E3" s="52">
        <f>(C3*12)+D3</f>
        <v>12</v>
      </c>
      <c r="F3" s="53">
        <f>(C3*39.37)+(D3*0.3936996)</f>
        <v>39.369999999999997</v>
      </c>
    </row>
    <row r="4" spans="1:10" ht="15.75" thickBot="1" x14ac:dyDescent="0.3">
      <c r="B4" s="28" t="s">
        <v>1956</v>
      </c>
      <c r="C4" s="361">
        <v>1</v>
      </c>
      <c r="D4" s="361">
        <v>0</v>
      </c>
      <c r="E4" s="52">
        <f>(C4*12)+D4</f>
        <v>12</v>
      </c>
      <c r="F4" s="53">
        <f>(C4*39.37)+(D4*0.3936996)</f>
        <v>39.369999999999997</v>
      </c>
    </row>
    <row r="5" spans="1:10" ht="15.75" thickBot="1" x14ac:dyDescent="0.3">
      <c r="B5" s="28" t="s">
        <v>1957</v>
      </c>
      <c r="C5" s="361">
        <v>1</v>
      </c>
      <c r="D5" s="361">
        <v>0</v>
      </c>
      <c r="E5" s="52">
        <f>(C5*12)+D5</f>
        <v>12</v>
      </c>
      <c r="F5" s="53">
        <f>(C5*39.37)+(D5*0.3936996)</f>
        <v>39.369999999999997</v>
      </c>
    </row>
    <row r="6" spans="1:10" ht="13.5" thickBot="1" x14ac:dyDescent="0.25">
      <c r="C6" s="29"/>
      <c r="E6" s="52">
        <f>(E3*E4*E5)</f>
        <v>1728</v>
      </c>
      <c r="F6" s="54">
        <f>(F3*F4*F5)</f>
        <v>61023.377952999988</v>
      </c>
    </row>
    <row r="7" spans="1:10" ht="13.5" thickBot="1" x14ac:dyDescent="0.25">
      <c r="B7" s="30" t="s">
        <v>1958</v>
      </c>
      <c r="C7" s="553">
        <f>IF(E1=1,E6,F6)</f>
        <v>1728</v>
      </c>
      <c r="D7" s="27" t="s">
        <v>2098</v>
      </c>
    </row>
    <row r="8" spans="1:10" ht="14.25" x14ac:dyDescent="0.2">
      <c r="B8" s="31"/>
      <c r="C8" s="245" t="str">
        <f>IF(E1=2,C7*(2.54)^3,"")</f>
        <v/>
      </c>
      <c r="D8" s="62" t="str">
        <f>IF(E1=2,"cubic centimeters","")</f>
        <v/>
      </c>
      <c r="E8" s="27"/>
    </row>
    <row r="9" spans="1:10" ht="14.25" x14ac:dyDescent="0.2">
      <c r="B9" s="31"/>
      <c r="C9" s="31"/>
      <c r="D9" s="32"/>
      <c r="H9" s="56"/>
      <c r="I9" s="56"/>
      <c r="J9" s="56"/>
    </row>
    <row r="10" spans="1:10" x14ac:dyDescent="0.2">
      <c r="A10" s="33"/>
      <c r="H10" s="56"/>
      <c r="I10" s="56"/>
      <c r="J10" s="56"/>
    </row>
    <row r="11" spans="1:10" x14ac:dyDescent="0.2">
      <c r="C11" s="885" t="str">
        <f>IF(MASTERSWITCH=1,"EVALUATION PERIOD EXPIRED!","")</f>
        <v/>
      </c>
      <c r="D11" s="885"/>
      <c r="E11" s="885"/>
      <c r="H11" s="56"/>
      <c r="I11" s="56"/>
      <c r="J11" s="56"/>
    </row>
    <row r="12" spans="1:10" x14ac:dyDescent="0.2">
      <c r="A12" s="34"/>
      <c r="C12" s="885" t="str">
        <f>IF(MASTERSWITCH=1,"PLEASE PURCHASE LICENSE TO","")</f>
        <v/>
      </c>
      <c r="D12" s="885"/>
      <c r="E12" s="885"/>
      <c r="G12" s="56"/>
      <c r="H12" s="56"/>
      <c r="I12" s="56"/>
      <c r="J12" s="56"/>
    </row>
    <row r="13" spans="1:10" x14ac:dyDescent="0.2">
      <c r="C13" s="885" t="str">
        <f>IF(MASTERSWITCH=1,"CONTINUE USING THIS PROGRAM","")</f>
        <v/>
      </c>
      <c r="D13" s="885"/>
      <c r="E13" s="885"/>
      <c r="G13" s="56"/>
      <c r="H13" s="56"/>
      <c r="I13" s="56"/>
      <c r="J13" s="56"/>
    </row>
    <row r="14" spans="1:10" x14ac:dyDescent="0.2">
      <c r="H14" s="56"/>
      <c r="I14" s="56"/>
      <c r="J14" s="56"/>
    </row>
    <row r="15" spans="1:10" x14ac:dyDescent="0.2">
      <c r="H15" s="56"/>
      <c r="I15" s="56"/>
      <c r="J15" s="56"/>
    </row>
    <row r="16" spans="1:10" ht="13.5" thickBot="1" x14ac:dyDescent="0.25">
      <c r="F16" s="701"/>
      <c r="G16" s="701"/>
      <c r="H16" s="701"/>
      <c r="I16" s="701"/>
      <c r="J16" s="56"/>
    </row>
    <row r="17" spans="1:10" ht="15.75" thickBot="1" x14ac:dyDescent="0.25">
      <c r="B17" s="37" t="s">
        <v>1960</v>
      </c>
      <c r="C17" s="555">
        <f>IF(E20=1,E17,SUM(E17)*(0.4536))</f>
        <v>490</v>
      </c>
      <c r="D17" s="63" t="str">
        <f>IF(E20=1,"Pounds","Kilograms")</f>
        <v>Pounds</v>
      </c>
      <c r="E17" s="56">
        <f>ROUNDUP(($C$7*C20),0)</f>
        <v>490</v>
      </c>
      <c r="F17" s="38"/>
      <c r="G17" s="38"/>
      <c r="H17" s="701"/>
      <c r="I17" s="701"/>
      <c r="J17" s="56"/>
    </row>
    <row r="18" spans="1:10" ht="15.75" thickBot="1" x14ac:dyDescent="0.25">
      <c r="B18" s="37" t="s">
        <v>1960</v>
      </c>
      <c r="C18" s="556">
        <f>IF(E20=1,E17/2000,E17/2205)</f>
        <v>0.245</v>
      </c>
      <c r="D18" s="64" t="str">
        <f>IF(E20=1,"ton(s)","metric ton(s)")</f>
        <v>ton(s)</v>
      </c>
      <c r="H18" s="56"/>
      <c r="I18" s="56"/>
      <c r="J18" s="56"/>
    </row>
    <row r="19" spans="1:10" x14ac:dyDescent="0.2">
      <c r="H19" s="56"/>
      <c r="I19" s="56"/>
      <c r="J19" s="56"/>
    </row>
    <row r="20" spans="1:10" x14ac:dyDescent="0.2">
      <c r="A20" s="883" t="s">
        <v>1963</v>
      </c>
      <c r="B20" s="883"/>
      <c r="C20" s="702">
        <f>LOOKUP(D20,LUweight)</f>
        <v>0.28356481481481483</v>
      </c>
      <c r="D20" s="703">
        <v>18</v>
      </c>
      <c r="E20" s="466">
        <v>1</v>
      </c>
      <c r="H20" s="56"/>
      <c r="I20" s="56"/>
      <c r="J20" s="56"/>
    </row>
    <row r="21" spans="1:10" x14ac:dyDescent="0.2">
      <c r="D21" s="56"/>
      <c r="E21" s="42"/>
      <c r="H21" s="56"/>
      <c r="I21" s="56"/>
      <c r="J21" s="56"/>
    </row>
    <row r="25" spans="1:10" ht="13.5" thickBot="1" x14ac:dyDescent="0.25">
      <c r="A25" s="884" t="s">
        <v>2093</v>
      </c>
      <c r="B25" s="884"/>
    </row>
    <row r="26" spans="1:10" x14ac:dyDescent="0.2">
      <c r="B26" s="874" t="s">
        <v>1727</v>
      </c>
      <c r="C26" s="875"/>
      <c r="D26" s="875"/>
      <c r="E26" s="875"/>
      <c r="F26" s="875"/>
      <c r="G26" s="875"/>
      <c r="H26" s="875"/>
      <c r="I26" s="876"/>
    </row>
    <row r="27" spans="1:10" x14ac:dyDescent="0.2">
      <c r="B27" s="877"/>
      <c r="C27" s="878"/>
      <c r="D27" s="878"/>
      <c r="E27" s="878"/>
      <c r="F27" s="878"/>
      <c r="G27" s="878"/>
      <c r="H27" s="878"/>
      <c r="I27" s="879"/>
    </row>
    <row r="28" spans="1:10" x14ac:dyDescent="0.2">
      <c r="B28" s="877"/>
      <c r="C28" s="878"/>
      <c r="D28" s="878"/>
      <c r="E28" s="878"/>
      <c r="F28" s="878"/>
      <c r="G28" s="878"/>
      <c r="H28" s="878"/>
      <c r="I28" s="879"/>
    </row>
    <row r="29" spans="1:10" x14ac:dyDescent="0.2">
      <c r="B29" s="877"/>
      <c r="C29" s="878"/>
      <c r="D29" s="878"/>
      <c r="E29" s="878"/>
      <c r="F29" s="878"/>
      <c r="G29" s="878"/>
      <c r="H29" s="878"/>
      <c r="I29" s="879"/>
    </row>
    <row r="30" spans="1:10" ht="13.5" thickBot="1" x14ac:dyDescent="0.25">
      <c r="B30" s="880"/>
      <c r="C30" s="881"/>
      <c r="D30" s="881"/>
      <c r="E30" s="881"/>
      <c r="F30" s="881"/>
      <c r="G30" s="881"/>
      <c r="H30" s="881"/>
      <c r="I30" s="882"/>
    </row>
  </sheetData>
  <sheetProtection password="D809" sheet="1" objects="1" scenarios="1" selectLockedCells="1"/>
  <mergeCells count="6">
    <mergeCell ref="B26:I30"/>
    <mergeCell ref="A20:B20"/>
    <mergeCell ref="A25:B25"/>
    <mergeCell ref="C11:E11"/>
    <mergeCell ref="C12:E12"/>
    <mergeCell ref="C13:E13"/>
  </mergeCells>
  <phoneticPr fontId="15" type="noConversion"/>
  <conditionalFormatting sqref="D17">
    <cfRule type="cellIs" dxfId="189" priority="1" stopIfTrue="1" operator="equal">
      <formula>"Kilograms"</formula>
    </cfRule>
  </conditionalFormatting>
  <conditionalFormatting sqref="D18">
    <cfRule type="cellIs" dxfId="188" priority="2" stopIfTrue="1" operator="equal">
      <formula>"metric ton(s)"</formula>
    </cfRule>
  </conditionalFormatting>
  <conditionalFormatting sqref="C2">
    <cfRule type="cellIs" dxfId="187" priority="3" stopIfTrue="1" operator="equal">
      <formula>"METER"</formula>
    </cfRule>
  </conditionalFormatting>
  <conditionalFormatting sqref="D2">
    <cfRule type="cellIs" dxfId="186" priority="4" stopIfTrue="1" operator="equal">
      <formula>"cm"</formula>
    </cfRule>
  </conditionalFormatting>
  <conditionalFormatting sqref="C3:D5">
    <cfRule type="expression" dxfId="185" priority="5" stopIfTrue="1">
      <formula>(MASTERSWITCH=1)</formula>
    </cfRule>
  </conditionalFormatting>
  <conditionalFormatting sqref="C11:E13">
    <cfRule type="expression" dxfId="184" priority="6" stopIfTrue="1">
      <formula>(MASTERSWITCH=1)</formula>
    </cfRule>
  </conditionalFormatting>
  <hyperlinks>
    <hyperlink ref="A20:B20" location="Weights!C28" tooltip="Add custom weights HERE" display="  Material type ="/>
  </hyperlinks>
  <pageMargins left="0.75" right="0.75" top="1.75" bottom="1.5" header="0.5" footer="0.5"/>
  <pageSetup scale="74" orientation="portrait" r:id="rId1"/>
  <headerFooter alignWithMargins="0">
    <oddHeader>&amp;L&amp;G&amp;R&amp;G</oddHeader>
    <oddFooter>&amp;L&amp;G&amp;R&amp;D  &amp;T</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21" r:id="rId5" name="Drop Down 1">
              <controlPr locked="0" defaultSize="0" autoFill="0" autoLine="0" autoPict="0">
                <anchor moveWithCells="1">
                  <from>
                    <xdr:col>2</xdr:col>
                    <xdr:colOff>57150</xdr:colOff>
                    <xdr:row>18</xdr:row>
                    <xdr:rowOff>142875</xdr:rowOff>
                  </from>
                  <to>
                    <xdr:col>5</xdr:col>
                    <xdr:colOff>285750</xdr:colOff>
                    <xdr:row>20</xdr:row>
                    <xdr:rowOff>38100</xdr:rowOff>
                  </to>
                </anchor>
              </controlPr>
            </control>
          </mc:Choice>
        </mc:AlternateContent>
        <mc:AlternateContent xmlns:mc="http://schemas.openxmlformats.org/markup-compatibility/2006">
          <mc:Choice Requires="x14">
            <control shapeId="30725" r:id="rId6" name="Option Button 5">
              <controlPr locked="0" defaultSize="0" autoFill="0" autoLine="0" autoPict="0">
                <anchor moveWithCells="1" sizeWithCells="1">
                  <from>
                    <xdr:col>4</xdr:col>
                    <xdr:colOff>247650</xdr:colOff>
                    <xdr:row>15</xdr:row>
                    <xdr:rowOff>114300</xdr:rowOff>
                  </from>
                  <to>
                    <xdr:col>5</xdr:col>
                    <xdr:colOff>514350</xdr:colOff>
                    <xdr:row>16</xdr:row>
                    <xdr:rowOff>161925</xdr:rowOff>
                  </to>
                </anchor>
              </controlPr>
            </control>
          </mc:Choice>
        </mc:AlternateContent>
        <mc:AlternateContent xmlns:mc="http://schemas.openxmlformats.org/markup-compatibility/2006">
          <mc:Choice Requires="x14">
            <control shapeId="30726" r:id="rId7" name="Option Button 6">
              <controlPr locked="0" defaultSize="0" autoFill="0" autoLine="0" autoPict="0">
                <anchor moveWithCells="1" sizeWithCells="1">
                  <from>
                    <xdr:col>4</xdr:col>
                    <xdr:colOff>238125</xdr:colOff>
                    <xdr:row>16</xdr:row>
                    <xdr:rowOff>123825</xdr:rowOff>
                  </from>
                  <to>
                    <xdr:col>5</xdr:col>
                    <xdr:colOff>400050</xdr:colOff>
                    <xdr:row>17</xdr:row>
                    <xdr:rowOff>142875</xdr:rowOff>
                  </to>
                </anchor>
              </controlPr>
            </control>
          </mc:Choice>
        </mc:AlternateContent>
        <mc:AlternateContent xmlns:mc="http://schemas.openxmlformats.org/markup-compatibility/2006">
          <mc:Choice Requires="x14">
            <control shapeId="30727" r:id="rId8" name="Group Box 7">
              <controlPr locked="0" defaultSize="0" autoFill="0" autoPict="0" altText="Display Units">
                <anchor moveWithCells="1" sizeWithCells="1">
                  <from>
                    <xdr:col>4</xdr:col>
                    <xdr:colOff>171450</xdr:colOff>
                    <xdr:row>15</xdr:row>
                    <xdr:rowOff>47625</xdr:rowOff>
                  </from>
                  <to>
                    <xdr:col>5</xdr:col>
                    <xdr:colOff>523875</xdr:colOff>
                    <xdr:row>17</xdr:row>
                    <xdr:rowOff>152400</xdr:rowOff>
                  </to>
                </anchor>
              </controlPr>
            </control>
          </mc:Choice>
        </mc:AlternateContent>
        <mc:AlternateContent xmlns:mc="http://schemas.openxmlformats.org/markup-compatibility/2006">
          <mc:Choice Requires="x14">
            <control shapeId="30731" r:id="rId9" name="Option Button 11">
              <controlPr defaultSize="0" autoFill="0" autoLine="0" autoPict="0">
                <anchor moveWithCells="1" sizeWithCells="1">
                  <from>
                    <xdr:col>4</xdr:col>
                    <xdr:colOff>161925</xdr:colOff>
                    <xdr:row>2</xdr:row>
                    <xdr:rowOff>19050</xdr:rowOff>
                  </from>
                  <to>
                    <xdr:col>4</xdr:col>
                    <xdr:colOff>600075</xdr:colOff>
                    <xdr:row>3</xdr:row>
                    <xdr:rowOff>38100</xdr:rowOff>
                  </to>
                </anchor>
              </controlPr>
            </control>
          </mc:Choice>
        </mc:AlternateContent>
        <mc:AlternateContent xmlns:mc="http://schemas.openxmlformats.org/markup-compatibility/2006">
          <mc:Choice Requires="x14">
            <control shapeId="30732" r:id="rId10" name="Option Button 12">
              <controlPr defaultSize="0" autoFill="0" autoLine="0" autoPict="0">
                <anchor moveWithCells="1" sizeWithCells="1">
                  <from>
                    <xdr:col>4</xdr:col>
                    <xdr:colOff>581025</xdr:colOff>
                    <xdr:row>2</xdr:row>
                    <xdr:rowOff>19050</xdr:rowOff>
                  </from>
                  <to>
                    <xdr:col>5</xdr:col>
                    <xdr:colOff>514350</xdr:colOff>
                    <xdr:row>3</xdr:row>
                    <xdr:rowOff>38100</xdr:rowOff>
                  </to>
                </anchor>
              </controlPr>
            </control>
          </mc:Choice>
        </mc:AlternateContent>
        <mc:AlternateContent xmlns:mc="http://schemas.openxmlformats.org/markup-compatibility/2006">
          <mc:Choice Requires="x14">
            <control shapeId="30733" r:id="rId11" name="Group Box 13">
              <controlPr defaultSize="0" autoFill="0" autoPict="0">
                <anchor moveWithCells="1" sizeWithCells="1">
                  <from>
                    <xdr:col>4</xdr:col>
                    <xdr:colOff>123825</xdr:colOff>
                    <xdr:row>1</xdr:row>
                    <xdr:rowOff>171450</xdr:rowOff>
                  </from>
                  <to>
                    <xdr:col>5</xdr:col>
                    <xdr:colOff>590550</xdr:colOff>
                    <xdr:row>3</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107</vt:i4>
      </vt:variant>
    </vt:vector>
  </HeadingPairs>
  <TitlesOfParts>
    <vt:vector size="162" baseType="lpstr">
      <vt:lpstr>Logo Page</vt:lpstr>
      <vt:lpstr>Help</vt:lpstr>
      <vt:lpstr>Code References</vt:lpstr>
      <vt:lpstr>MasterIndex</vt:lpstr>
      <vt:lpstr>INDEX (Weight)</vt:lpstr>
      <vt:lpstr>INDEX (Equipment)</vt:lpstr>
      <vt:lpstr>INDEX (Tension)</vt:lpstr>
      <vt:lpstr>Conversions</vt:lpstr>
      <vt:lpstr>Cube</vt:lpstr>
      <vt:lpstr>Cylinder</vt:lpstr>
      <vt:lpstr>Hollow Cylinder</vt:lpstr>
      <vt:lpstr>Fustum of Pyramid</vt:lpstr>
      <vt:lpstr>Pyramid</vt:lpstr>
      <vt:lpstr>Fustum of Cone</vt:lpstr>
      <vt:lpstr>Cone</vt:lpstr>
      <vt:lpstr>Sphere</vt:lpstr>
      <vt:lpstr>Prism</vt:lpstr>
      <vt:lpstr>Motors</vt:lpstr>
      <vt:lpstr>Valve Bonnets</vt:lpstr>
      <vt:lpstr>Pump UH casings</vt:lpstr>
      <vt:lpstr>Pipe Weight</vt:lpstr>
      <vt:lpstr>S-type I-Beams</vt:lpstr>
      <vt:lpstr>Wide Flange I-Beams</vt:lpstr>
      <vt:lpstr>Steel Channel</vt:lpstr>
      <vt:lpstr>Steel Angles</vt:lpstr>
      <vt:lpstr>Steel</vt:lpstr>
      <vt:lpstr>Trig-a</vt:lpstr>
      <vt:lpstr>Trig-b</vt:lpstr>
      <vt:lpstr>Trig-c</vt:lpstr>
      <vt:lpstr>Tension by the Book</vt:lpstr>
      <vt:lpstr>2 Leg Config</vt:lpstr>
      <vt:lpstr>Non-Symmetrical</vt:lpstr>
      <vt:lpstr>Tight Lines</vt:lpstr>
      <vt:lpstr>Drifting loads</vt:lpstr>
      <vt:lpstr>Choker Reduction Single</vt:lpstr>
      <vt:lpstr>Choker Reduction Double</vt:lpstr>
      <vt:lpstr>Synthetic Slings</vt:lpstr>
      <vt:lpstr>Wire Rope Slings</vt:lpstr>
      <vt:lpstr>Chain Slings</vt:lpstr>
      <vt:lpstr>Twin-Path® Slings</vt:lpstr>
      <vt:lpstr>HoistRings</vt:lpstr>
      <vt:lpstr>Eyebolts</vt:lpstr>
      <vt:lpstr>Shackles</vt:lpstr>
      <vt:lpstr>Web Shackles</vt:lpstr>
      <vt:lpstr>WideBody</vt:lpstr>
      <vt:lpstr>datapage</vt:lpstr>
      <vt:lpstr>data_shackle2</vt:lpstr>
      <vt:lpstr>data_shackle</vt:lpstr>
      <vt:lpstr>data_eyebolts</vt:lpstr>
      <vt:lpstr>data_chains</vt:lpstr>
      <vt:lpstr>data_sling_2</vt:lpstr>
      <vt:lpstr>data_slings</vt:lpstr>
      <vt:lpstr>Weights</vt:lpstr>
      <vt:lpstr>release_notes</vt:lpstr>
      <vt:lpstr>x</vt:lpstr>
      <vt:lpstr>Acceleration</vt:lpstr>
      <vt:lpstr>Area</vt:lpstr>
      <vt:lpstr>Calc1</vt:lpstr>
      <vt:lpstr>Calc10</vt:lpstr>
      <vt:lpstr>Calc2</vt:lpstr>
      <vt:lpstr>Calc3</vt:lpstr>
      <vt:lpstr>Calc4</vt:lpstr>
      <vt:lpstr>Calc5</vt:lpstr>
      <vt:lpstr>Calc6</vt:lpstr>
      <vt:lpstr>Calc7</vt:lpstr>
      <vt:lpstr>Calc8</vt:lpstr>
      <vt:lpstr>Calc9</vt:lpstr>
      <vt:lpstr>CodeRef</vt:lpstr>
      <vt:lpstr>Conversions</vt:lpstr>
      <vt:lpstr>Custom_eyes</vt:lpstr>
      <vt:lpstr>Custom_slings</vt:lpstr>
      <vt:lpstr>Data</vt:lpstr>
      <vt:lpstr>Dry_Volume</vt:lpstr>
      <vt:lpstr>Energy</vt:lpstr>
      <vt:lpstr>Force</vt:lpstr>
      <vt:lpstr>Gear1</vt:lpstr>
      <vt:lpstr>Gear2</vt:lpstr>
      <vt:lpstr>Gear3</vt:lpstr>
      <vt:lpstr>Gear4</vt:lpstr>
      <vt:lpstr>Gear5</vt:lpstr>
      <vt:lpstr>Gear7</vt:lpstr>
      <vt:lpstr>Gear8</vt:lpstr>
      <vt:lpstr>Gear9</vt:lpstr>
      <vt:lpstr>getweight</vt:lpstr>
      <vt:lpstr>HelpMe</vt:lpstr>
      <vt:lpstr>HOME</vt:lpstr>
      <vt:lpstr>INDEX_EQUIP</vt:lpstr>
      <vt:lpstr>INDEX_TENSION</vt:lpstr>
      <vt:lpstr>INDEX_WEIGHT</vt:lpstr>
      <vt:lpstr>Length</vt:lpstr>
      <vt:lpstr>LogoPage</vt:lpstr>
      <vt:lpstr>LUweight</vt:lpstr>
      <vt:lpstr>Mass</vt:lpstr>
      <vt:lpstr>Master_Index_Page</vt:lpstr>
      <vt:lpstr>MASTERSWITCH</vt:lpstr>
      <vt:lpstr>Power</vt:lpstr>
      <vt:lpstr>'2 Leg Config'!Print_Area</vt:lpstr>
      <vt:lpstr>'Chain Slings'!Print_Area</vt:lpstr>
      <vt:lpstr>'Choker Reduction Double'!Print_Area</vt:lpstr>
      <vt:lpstr>'Choker Reduction Single'!Print_Area</vt:lpstr>
      <vt:lpstr>Cone!Print_Area</vt:lpstr>
      <vt:lpstr>Cube!Print_Area</vt:lpstr>
      <vt:lpstr>Cylinder!Print_Area</vt:lpstr>
      <vt:lpstr>'Drifting loads'!Print_Area</vt:lpstr>
      <vt:lpstr>Eyebolts!Print_Area</vt:lpstr>
      <vt:lpstr>'Fustum of Cone'!Print_Area</vt:lpstr>
      <vt:lpstr>'Fustum of Pyramid'!Print_Area</vt:lpstr>
      <vt:lpstr>HoistRings!Print_Area</vt:lpstr>
      <vt:lpstr>'Hollow Cylinder'!Print_Area</vt:lpstr>
      <vt:lpstr>'INDEX (Equipment)'!Print_Area</vt:lpstr>
      <vt:lpstr>'INDEX (Tension)'!Print_Area</vt:lpstr>
      <vt:lpstr>'INDEX (Weight)'!Print_Area</vt:lpstr>
      <vt:lpstr>'Logo Page'!Print_Area</vt:lpstr>
      <vt:lpstr>MasterIndex!Print_Area</vt:lpstr>
      <vt:lpstr>Motors!Print_Area</vt:lpstr>
      <vt:lpstr>'Non-Symmetrical'!Print_Area</vt:lpstr>
      <vt:lpstr>'Pipe Weight'!Print_Area</vt:lpstr>
      <vt:lpstr>Prism!Print_Area</vt:lpstr>
      <vt:lpstr>'Pump UH casings'!Print_Area</vt:lpstr>
      <vt:lpstr>Pyramid!Print_Area</vt:lpstr>
      <vt:lpstr>Shackles!Print_Area</vt:lpstr>
      <vt:lpstr>Sphere!Print_Area</vt:lpstr>
      <vt:lpstr>Steel!Print_Area</vt:lpstr>
      <vt:lpstr>'Steel Angles'!Print_Area</vt:lpstr>
      <vt:lpstr>'Steel Channel'!Print_Area</vt:lpstr>
      <vt:lpstr>'S-type I-Beams'!Print_Area</vt:lpstr>
      <vt:lpstr>'Synthetic Slings'!Print_Area</vt:lpstr>
      <vt:lpstr>'Tension by the Book'!Print_Area</vt:lpstr>
      <vt:lpstr>'Tight Lines'!Print_Area</vt:lpstr>
      <vt:lpstr>'Trig-a'!Print_Area</vt:lpstr>
      <vt:lpstr>'Trig-b'!Print_Area</vt:lpstr>
      <vt:lpstr>'Trig-c'!Print_Area</vt:lpstr>
      <vt:lpstr>'Twin-Path® Slings'!Print_Area</vt:lpstr>
      <vt:lpstr>'Valve Bonnets'!Print_Area</vt:lpstr>
      <vt:lpstr>'Web Shackles'!Print_Area</vt:lpstr>
      <vt:lpstr>'Wide Flange I-Beams'!Print_Area</vt:lpstr>
      <vt:lpstr>WideBody!Print_Area</vt:lpstr>
      <vt:lpstr>'Wire Rope Slings'!Print_Area</vt:lpstr>
      <vt:lpstr>slinglength</vt:lpstr>
      <vt:lpstr>Temperature</vt:lpstr>
      <vt:lpstr>Time</vt:lpstr>
      <vt:lpstr>Updates</vt:lpstr>
      <vt:lpstr>Velocity</vt:lpstr>
      <vt:lpstr>Volume</vt:lpstr>
      <vt:lpstr>Weight1</vt:lpstr>
      <vt:lpstr>Weight10</vt:lpstr>
      <vt:lpstr>Weight11</vt:lpstr>
      <vt:lpstr>Weight12</vt:lpstr>
      <vt:lpstr>Weight13</vt:lpstr>
      <vt:lpstr>Weight14</vt:lpstr>
      <vt:lpstr>Weight15</vt:lpstr>
      <vt:lpstr>Weight16</vt:lpstr>
      <vt:lpstr>Weight17</vt:lpstr>
      <vt:lpstr>Weight18</vt:lpstr>
      <vt:lpstr>Weight2</vt:lpstr>
      <vt:lpstr>Weight3</vt:lpstr>
      <vt:lpstr>Weight4</vt:lpstr>
      <vt:lpstr>Weight5</vt:lpstr>
      <vt:lpstr>Weight6</vt:lpstr>
      <vt:lpstr>Weight7</vt:lpstr>
      <vt:lpstr>Weight8</vt:lpstr>
      <vt:lpstr>Weight9</vt:lpstr>
    </vt:vector>
  </TitlesOfParts>
  <Company>ACRA Enterprises,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LiftCalc 3.0</dc:title>
  <dc:subject>Rigging Calculations</dc:subject>
  <dc:creator>Jerry Klinke</dc:creator>
  <dc:description>(c) Copyright 2006</dc:description>
  <cp:lastModifiedBy>Paul.Briggs</cp:lastModifiedBy>
  <cp:lastPrinted>2006-06-08T17:02:41Z</cp:lastPrinted>
  <dcterms:created xsi:type="dcterms:W3CDTF">2006-01-20T20:27:13Z</dcterms:created>
  <dcterms:modified xsi:type="dcterms:W3CDTF">2015-04-19T19:07:57Z</dcterms:modified>
</cp:coreProperties>
</file>